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5.09.18 - NOURE RAVALEMENT\00_DCE\PIECES ECRITES\"/>
    </mc:Choice>
  </mc:AlternateContent>
  <xr:revisionPtr revIDLastSave="0" documentId="13_ncr:1_{4D0F94D4-D087-4FB9-A385-F4F610EB6DCB}" xr6:coauthVersionLast="47" xr6:coauthVersionMax="47" xr10:uidLastSave="{00000000-0000-0000-0000-000000000000}"/>
  <bookViews>
    <workbookView xWindow="130" yWindow="60" windowWidth="16940" windowHeight="20400" firstSheet="7" activeTab="9" xr2:uid="{2FCF0CD5-D31B-4304-904C-85F9E2064DC2}"/>
  </bookViews>
  <sheets>
    <sheet name="10-NOURE - Bât. A" sheetId="10" r:id="rId1"/>
    <sheet name="10-NOURE - Bât. B" sheetId="13" r:id="rId2"/>
    <sheet name="10-NOURE - Bât. C" sheetId="14" r:id="rId3"/>
    <sheet name="10-NOURE - Bât. D" sheetId="15" r:id="rId4"/>
    <sheet name="10-NOURE - Bât. E" sheetId="16" r:id="rId5"/>
    <sheet name="10-NOURE - Bât. F" sheetId="17" r:id="rId6"/>
    <sheet name="10-NOURE - Bât. G" sheetId="18" r:id="rId7"/>
    <sheet name="10-NOURE - Bât. H1" sheetId="19" r:id="rId8"/>
    <sheet name="10-NOURE - Bât. H2" sheetId="20" r:id="rId9"/>
    <sheet name="10-NOURE - RECAP" sheetId="12" r:id="rId10"/>
  </sheets>
  <definedNames>
    <definedName name="_xlnm.Print_Area" localSheetId="0">'10-NOURE - Bât. A'!$A$1:$F$36</definedName>
    <definedName name="_xlnm.Print_Area" localSheetId="1">'10-NOURE - Bât. B'!$A$1:$F$36</definedName>
    <definedName name="_xlnm.Print_Area" localSheetId="2">'10-NOURE - Bât. C'!$A$1:$F$36</definedName>
    <definedName name="_xlnm.Print_Area" localSheetId="3">'10-NOURE - Bât. D'!$A$1:$F$36</definedName>
    <definedName name="_xlnm.Print_Area" localSheetId="4">'10-NOURE - Bât. E'!$A$1:$F$36</definedName>
    <definedName name="_xlnm.Print_Area" localSheetId="5">'10-NOURE - Bât. F'!$A$1:$F$36</definedName>
    <definedName name="_xlnm.Print_Area" localSheetId="6">'10-NOURE - Bât. G'!$A$1:$F$36</definedName>
    <definedName name="_xlnm.Print_Area" localSheetId="7">'10-NOURE - Bât. H1'!$A$1:$F$36</definedName>
    <definedName name="_xlnm.Print_Area" localSheetId="8">'10-NOURE - Bât. H2'!$A$1:$F$36</definedName>
    <definedName name="_xlnm.Print_Area" localSheetId="9">'10-NOURE - RECAP'!$A$1:$F$35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0" l="1"/>
  <c r="D27" i="20"/>
  <c r="D23" i="20"/>
  <c r="D25" i="20"/>
  <c r="D22" i="20"/>
  <c r="D20" i="20"/>
  <c r="D19" i="20"/>
  <c r="D18" i="20"/>
  <c r="D27" i="19"/>
  <c r="D28" i="19"/>
  <c r="D22" i="19"/>
  <c r="D23" i="19"/>
  <c r="D20" i="19"/>
  <c r="D19" i="19"/>
  <c r="D18" i="19"/>
  <c r="D28" i="18"/>
  <c r="D23" i="18"/>
  <c r="D18" i="18"/>
  <c r="D22" i="18" l="1"/>
  <c r="D20" i="18"/>
  <c r="D19" i="18"/>
  <c r="F19" i="18" s="1"/>
  <c r="D20" i="10"/>
  <c r="D20" i="13"/>
  <c r="D20" i="14"/>
  <c r="D20" i="15"/>
  <c r="D20" i="16"/>
  <c r="D14" i="12"/>
  <c r="F14" i="12" s="1"/>
  <c r="D15" i="12"/>
  <c r="F15" i="12" s="1"/>
  <c r="D16" i="12"/>
  <c r="F16" i="12" s="1"/>
  <c r="D18" i="12"/>
  <c r="D19" i="12"/>
  <c r="D20" i="12"/>
  <c r="F20" i="12" s="1"/>
  <c r="D22" i="12"/>
  <c r="F22" i="12" s="1"/>
  <c r="D23" i="12"/>
  <c r="D24" i="12"/>
  <c r="F24" i="12" s="1"/>
  <c r="D25" i="12"/>
  <c r="F25" i="12" s="1"/>
  <c r="D27" i="12"/>
  <c r="D28" i="12"/>
  <c r="F28" i="12" s="1"/>
  <c r="D20" i="17"/>
  <c r="D28" i="17"/>
  <c r="D25" i="17"/>
  <c r="F25" i="17" s="1"/>
  <c r="D23" i="17"/>
  <c r="D18" i="17"/>
  <c r="D22" i="17"/>
  <c r="D19" i="17"/>
  <c r="F18" i="17"/>
  <c r="D19" i="16"/>
  <c r="D28" i="16"/>
  <c r="D23" i="16"/>
  <c r="D24" i="16"/>
  <c r="D27" i="16"/>
  <c r="D22" i="16"/>
  <c r="F20" i="16"/>
  <c r="D18" i="16"/>
  <c r="F18" i="16" s="1"/>
  <c r="D28" i="14"/>
  <c r="D28" i="15"/>
  <c r="D24" i="10"/>
  <c r="D24" i="13"/>
  <c r="D24" i="14"/>
  <c r="D24" i="15"/>
  <c r="D25" i="14"/>
  <c r="D23" i="15"/>
  <c r="F23" i="15"/>
  <c r="D22" i="15"/>
  <c r="D19" i="15"/>
  <c r="D18" i="15"/>
  <c r="D23" i="14"/>
  <c r="F23" i="14" s="1"/>
  <c r="F28" i="14"/>
  <c r="D27" i="14"/>
  <c r="D22" i="14"/>
  <c r="D19" i="14"/>
  <c r="F19" i="14" s="1"/>
  <c r="D18" i="14"/>
  <c r="F18" i="14" s="1"/>
  <c r="F28" i="20"/>
  <c r="F27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D11" i="20"/>
  <c r="D12" i="20" s="1"/>
  <c r="F12" i="20" s="1"/>
  <c r="F28" i="19"/>
  <c r="F27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D11" i="19"/>
  <c r="D13" i="19" s="1"/>
  <c r="F13" i="19" s="1"/>
  <c r="F28" i="18"/>
  <c r="F27" i="18"/>
  <c r="F25" i="18"/>
  <c r="F24" i="18"/>
  <c r="F23" i="18"/>
  <c r="F22" i="18"/>
  <c r="F21" i="18"/>
  <c r="F20" i="18"/>
  <c r="F18" i="18"/>
  <c r="F17" i="18"/>
  <c r="F16" i="18"/>
  <c r="F15" i="18"/>
  <c r="F14" i="18"/>
  <c r="F28" i="17"/>
  <c r="F27" i="17"/>
  <c r="F24" i="17"/>
  <c r="F23" i="17"/>
  <c r="F22" i="17"/>
  <c r="F21" i="17"/>
  <c r="F20" i="17"/>
  <c r="F19" i="17"/>
  <c r="F17" i="17"/>
  <c r="F16" i="17"/>
  <c r="F15" i="17"/>
  <c r="F14" i="17"/>
  <c r="F28" i="16"/>
  <c r="F27" i="16"/>
  <c r="F25" i="16"/>
  <c r="F24" i="16"/>
  <c r="F23" i="16"/>
  <c r="F22" i="16"/>
  <c r="F21" i="16"/>
  <c r="F19" i="16"/>
  <c r="F17" i="16"/>
  <c r="F16" i="16"/>
  <c r="F15" i="16"/>
  <c r="F14" i="16"/>
  <c r="F28" i="15"/>
  <c r="F27" i="15"/>
  <c r="F25" i="15"/>
  <c r="F24" i="15"/>
  <c r="F22" i="15"/>
  <c r="F21" i="15"/>
  <c r="F20" i="15"/>
  <c r="F19" i="15"/>
  <c r="F17" i="15"/>
  <c r="F16" i="15"/>
  <c r="F15" i="15"/>
  <c r="F14" i="15"/>
  <c r="F27" i="14"/>
  <c r="F25" i="14"/>
  <c r="F24" i="14"/>
  <c r="F22" i="14"/>
  <c r="F21" i="14"/>
  <c r="F20" i="14"/>
  <c r="F17" i="14"/>
  <c r="F16" i="14"/>
  <c r="F15" i="14"/>
  <c r="F14" i="14"/>
  <c r="D28" i="13"/>
  <c r="D23" i="13"/>
  <c r="F23" i="13"/>
  <c r="D27" i="13"/>
  <c r="F27" i="13" s="1"/>
  <c r="D25" i="13"/>
  <c r="D22" i="13"/>
  <c r="F20" i="13"/>
  <c r="D19" i="13"/>
  <c r="D18" i="13"/>
  <c r="D18" i="10"/>
  <c r="F28" i="13"/>
  <c r="F25" i="13"/>
  <c r="F24" i="13"/>
  <c r="F22" i="13"/>
  <c r="F21" i="13"/>
  <c r="F17" i="13"/>
  <c r="F16" i="13"/>
  <c r="F15" i="13"/>
  <c r="F14" i="13"/>
  <c r="D27" i="10"/>
  <c r="D23" i="10"/>
  <c r="F28" i="10"/>
  <c r="D28" i="10"/>
  <c r="F27" i="10"/>
  <c r="D25" i="10"/>
  <c r="D22" i="10"/>
  <c r="D19" i="10"/>
  <c r="F24" i="10"/>
  <c r="F23" i="10"/>
  <c r="F21" i="12"/>
  <c r="F17" i="12"/>
  <c r="F27" i="12" l="1"/>
  <c r="D11" i="18"/>
  <c r="D13" i="18" s="1"/>
  <c r="F13" i="18" s="1"/>
  <c r="F18" i="12"/>
  <c r="F23" i="12"/>
  <c r="D11" i="17"/>
  <c r="F11" i="17" s="1"/>
  <c r="D11" i="16"/>
  <c r="D11" i="15"/>
  <c r="D13" i="15" s="1"/>
  <c r="F13" i="15" s="1"/>
  <c r="F18" i="15"/>
  <c r="D11" i="14"/>
  <c r="D12" i="14" s="1"/>
  <c r="F12" i="14" s="1"/>
  <c r="D13" i="20"/>
  <c r="F13" i="20" s="1"/>
  <c r="F11" i="20"/>
  <c r="D12" i="19"/>
  <c r="F12" i="19" s="1"/>
  <c r="F11" i="19"/>
  <c r="D13" i="17"/>
  <c r="F13" i="17" s="1"/>
  <c r="D12" i="17"/>
  <c r="F12" i="17" s="1"/>
  <c r="D12" i="15"/>
  <c r="F12" i="15" s="1"/>
  <c r="D13" i="14"/>
  <c r="F13" i="14" s="1"/>
  <c r="D11" i="13"/>
  <c r="D12" i="13" s="1"/>
  <c r="F12" i="13" s="1"/>
  <c r="F19" i="13"/>
  <c r="F18" i="13"/>
  <c r="D13" i="13"/>
  <c r="F13" i="13" s="1"/>
  <c r="F19" i="12"/>
  <c r="D11" i="10"/>
  <c r="F18" i="10"/>
  <c r="F20" i="10"/>
  <c r="F14" i="10"/>
  <c r="F16" i="10"/>
  <c r="F22" i="10"/>
  <c r="F15" i="10"/>
  <c r="F17" i="10"/>
  <c r="F21" i="10"/>
  <c r="F25" i="10"/>
  <c r="F33" i="19" l="1"/>
  <c r="F34" i="19" s="1"/>
  <c r="F35" i="19" s="1"/>
  <c r="F11" i="18"/>
  <c r="D12" i="18"/>
  <c r="F12" i="18" s="1"/>
  <c r="F11" i="15"/>
  <c r="D13" i="16"/>
  <c r="D11" i="12"/>
  <c r="F11" i="12" s="1"/>
  <c r="F33" i="17"/>
  <c r="F34" i="17" s="1"/>
  <c r="F35" i="17" s="1"/>
  <c r="D12" i="16"/>
  <c r="F11" i="16"/>
  <c r="F33" i="15"/>
  <c r="F34" i="15" s="1"/>
  <c r="F35" i="15" s="1"/>
  <c r="F11" i="14"/>
  <c r="F33" i="14" s="1"/>
  <c r="F34" i="14" s="1"/>
  <c r="F35" i="14" s="1"/>
  <c r="F33" i="20"/>
  <c r="F11" i="13"/>
  <c r="F33" i="13"/>
  <c r="F34" i="13" s="1"/>
  <c r="F35" i="13" s="1"/>
  <c r="F11" i="10"/>
  <c r="D13" i="10"/>
  <c r="F13" i="10" s="1"/>
  <c r="D12" i="10"/>
  <c r="F12" i="10" s="1"/>
  <c r="F19" i="10"/>
  <c r="F33" i="18" l="1"/>
  <c r="F34" i="18" s="1"/>
  <c r="F35" i="18" s="1"/>
  <c r="F12" i="16"/>
  <c r="D12" i="12"/>
  <c r="F12" i="12" s="1"/>
  <c r="F13" i="16"/>
  <c r="D13" i="12"/>
  <c r="F13" i="12" s="1"/>
  <c r="F34" i="20"/>
  <c r="F35" i="20" s="1"/>
  <c r="F33" i="10"/>
  <c r="F34" i="10" s="1"/>
  <c r="F35" i="10" s="1"/>
  <c r="F33" i="16" l="1"/>
  <c r="F34" i="16" s="1"/>
  <c r="F35" i="16" s="1"/>
  <c r="F32" i="12"/>
  <c r="F33" i="12" s="1"/>
  <c r="F34" i="12" s="1"/>
</calcChain>
</file>

<file path=xl/sharedStrings.xml><?xml version="1.0" encoding="utf-8"?>
<sst xmlns="http://schemas.openxmlformats.org/spreadsheetml/2006/main" count="649" uniqueCount="60">
  <si>
    <t>D.P.G.F</t>
  </si>
  <si>
    <t>Code</t>
  </si>
  <si>
    <t>Désignation</t>
  </si>
  <si>
    <t>Total</t>
  </si>
  <si>
    <t>Montant HT</t>
  </si>
  <si>
    <t>U</t>
  </si>
  <si>
    <t>QTE</t>
  </si>
  <si>
    <t>PU</t>
  </si>
  <si>
    <t>TOTAL</t>
  </si>
  <si>
    <t>10.3.1</t>
  </si>
  <si>
    <t>Préparation / Nettoyage</t>
  </si>
  <si>
    <t>Nettoyage haute pression des supports</t>
  </si>
  <si>
    <t>Peintures extérieures</t>
  </si>
  <si>
    <t>10.3.2</t>
  </si>
  <si>
    <t>10.3.1.1</t>
  </si>
  <si>
    <t>10.3.1.2</t>
  </si>
  <si>
    <t>10.3.2.2</t>
  </si>
  <si>
    <t>10.3.2.1</t>
  </si>
  <si>
    <t>10.3.3</t>
  </si>
  <si>
    <t>Peinture sur boiseries</t>
  </si>
  <si>
    <t>10.3.3.1</t>
  </si>
  <si>
    <t>10.3.4</t>
  </si>
  <si>
    <t>Peintures sur PVC</t>
  </si>
  <si>
    <t>m²</t>
  </si>
  <si>
    <t>ml</t>
  </si>
  <si>
    <t>Reprise de fissuration localisée</t>
  </si>
  <si>
    <t>10.3.1.3</t>
  </si>
  <si>
    <t>10.3.1.4</t>
  </si>
  <si>
    <t>10.3.1.5</t>
  </si>
  <si>
    <t>10.3.1.6</t>
  </si>
  <si>
    <t>Reprise des fonds dégradés</t>
  </si>
  <si>
    <t>Traitement des phénomènes de réaction ALCALIS, des éclats de fers à béton, de Zéolithe</t>
  </si>
  <si>
    <t>10.3.5</t>
  </si>
  <si>
    <t>Peintures sur ouvrages métalliques</t>
  </si>
  <si>
    <t>Ens</t>
  </si>
  <si>
    <t>TGC 6 %</t>
  </si>
  <si>
    <t>MONTANT TTC</t>
  </si>
  <si>
    <t>Peinture d'imperméabilisation Type I3 pour Façades et Pignons</t>
  </si>
  <si>
    <t>Ravalement de façades et parties communes</t>
  </si>
  <si>
    <t>Décapage des ancies revêtements</t>
  </si>
  <si>
    <t>Traitement préventif anti mousse (Traitement fongicide)</t>
  </si>
  <si>
    <t>10.3.2.3</t>
  </si>
  <si>
    <t>Peinture extérieure microporeuse (Type D2) pour sous bassement, sous face de palier, paillasse d’escalier, garde-corps maçonnés, bandeau béton de passerelle, murs de soutènement</t>
  </si>
  <si>
    <t>Peinture extérieure microporeuse (Type D2) pour murs des terrasses, cages d’escaliers et murs des parties communes, garde-corps maçonnés</t>
  </si>
  <si>
    <t>RESIDENCE NOURE</t>
  </si>
  <si>
    <t>LOT 10 - PEINTURE - Bâtiment A</t>
  </si>
  <si>
    <t>Peinture polyuréthane en phaqe aqueuse sur menuiseries bois (Portepalière et GT)</t>
  </si>
  <si>
    <t>Peinture acrylique sur menuiseries bois (charpente et bandeaux)</t>
  </si>
  <si>
    <t>LOT 10 - PEINTURE - Bâtiment B</t>
  </si>
  <si>
    <t>a) Charpente, ossature métallique casquette, mains-courantes…</t>
  </si>
  <si>
    <t>b) Garde-corps, Pare-vue</t>
  </si>
  <si>
    <t>Lasure sur boiserie extérieure (résille, brise soleil)</t>
  </si>
  <si>
    <t>LOT 10 - PEINTURE - Bâtiment C</t>
  </si>
  <si>
    <t>LOT 10 - PEINTURE - Bâtiment D</t>
  </si>
  <si>
    <t>LOT 10 - PEINTURE - Bâtiment E</t>
  </si>
  <si>
    <t>LOT 10 - PEINTURE - Bâtiment F</t>
  </si>
  <si>
    <t>LOT 10 - PEINTURE - Bâtiment G</t>
  </si>
  <si>
    <t>LOT 10 - PEINTURE - Bâtiment H1</t>
  </si>
  <si>
    <t>LOT 10 - PEINTURE - Bâtiment H2</t>
  </si>
  <si>
    <t>LOT 10 - PEINTURE - RECAPITULATIF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</si>
</sst>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 * #,##0.00_)_F_ ;_ * \(#,##0.00\)_F_ ;_ * &quot;-&quot;??_)_F_ ;_ @_ "/>
    <numFmt numFmtId="166" formatCode="#,##0;[Red]&quot;-&quot;#,##0;"/>
    <numFmt numFmtId="167" formatCode="#,##0&quot; &quot;&quot;F&quot;&quot; &quot;;[Red]&quot;-&quot;#,##0&quot; &quot;&quot;F&quot;&quot; &quot;;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Lucida Grande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2"/>
      <name val="Calibri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18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Lucida Grande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11" fillId="0" borderId="0"/>
  </cellStyleXfs>
  <cellXfs count="49">
    <xf numFmtId="0" fontId="0" fillId="0" borderId="0" xfId="0"/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167" fontId="7" fillId="0" borderId="2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167" fontId="7" fillId="0" borderId="9" xfId="0" applyNumberFormat="1" applyFont="1" applyBorder="1" applyAlignment="1">
      <alignment horizontal="right" vertical="center" wrapText="1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166" fontId="7" fillId="0" borderId="11" xfId="0" applyNumberFormat="1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167" fontId="7" fillId="0" borderId="11" xfId="0" applyNumberFormat="1" applyFont="1" applyBorder="1" applyAlignment="1" applyProtection="1">
      <alignment horizontal="right" vertical="center" wrapText="1"/>
      <protection locked="0"/>
    </xf>
    <xf numFmtId="167" fontId="7" fillId="0" borderId="12" xfId="0" applyNumberFormat="1" applyFont="1" applyBorder="1" applyAlignment="1">
      <alignment horizontal="right" vertical="center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4" fontId="7" fillId="0" borderId="2" xfId="0" applyNumberFormat="1" applyFont="1" applyBorder="1" applyAlignment="1" applyProtection="1">
      <alignment horizontal="center" vertical="center" wrapText="1"/>
      <protection locked="0"/>
    </xf>
    <xf numFmtId="4" fontId="3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vertical="center"/>
      <protection locked="0"/>
    </xf>
    <xf numFmtId="167" fontId="3" fillId="2" borderId="15" xfId="0" applyNumberFormat="1" applyFont="1" applyFill="1" applyBorder="1" applyAlignment="1">
      <alignment horizontal="right" vertical="center" wrapText="1"/>
    </xf>
    <xf numFmtId="2" fontId="7" fillId="0" borderId="2" xfId="0" applyNumberFormat="1" applyFont="1" applyBorder="1" applyAlignment="1" applyProtection="1">
      <alignment horizontal="center" vertical="center" wrapText="1"/>
      <protection locked="0"/>
    </xf>
    <xf numFmtId="4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</cellXfs>
  <cellStyles count="8">
    <cellStyle name="Milliers 2" xfId="3" xr:uid="{6BB422EE-0E1C-4DA0-9226-FE0F38B60C49}"/>
    <cellStyle name="Milliers 3" xfId="6" xr:uid="{41313A7E-3BEC-4BD0-8AFA-7976C859900F}"/>
    <cellStyle name="Milliers 4" xfId="1" xr:uid="{DE144948-ED98-4EE1-86E5-34CD51FA2FAE}"/>
    <cellStyle name="Normal" xfId="0" builtinId="0"/>
    <cellStyle name="Normal 2" xfId="4" xr:uid="{73AC8E00-8B30-4ED5-8E83-4E914E0A30F0}"/>
    <cellStyle name="Normal 2 2" xfId="5" xr:uid="{A54CAF2A-AE59-4B76-A48A-4D0346297CED}"/>
    <cellStyle name="Normal 3" xfId="7" xr:uid="{0DD4C1D6-37A1-43C1-9865-F9405C1571DF}"/>
    <cellStyle name="Normal 4" xfId="2" xr:uid="{54145178-8C56-4E22-8444-4D587FA460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3AF24-BD8F-45B8-A696-DD5FE0C6F694}">
  <sheetPr>
    <pageSetUpPr fitToPage="1"/>
  </sheetPr>
  <dimension ref="A1:G35"/>
  <sheetViews>
    <sheetView topLeftCell="A4" zoomScaleNormal="100" workbookViewId="0">
      <selection activeCell="E11" sqref="E11:E28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81640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44</v>
      </c>
      <c r="C2" s="3"/>
      <c r="D2" s="3"/>
      <c r="E2" s="8"/>
      <c r="F2" s="8"/>
      <c r="G2" s="2"/>
    </row>
    <row r="3" spans="1:7" s="22" customFormat="1" ht="28.4" customHeight="1">
      <c r="A3" s="1"/>
      <c r="B3" s="48" t="s">
        <v>38</v>
      </c>
      <c r="C3" s="48"/>
      <c r="D3" s="48"/>
      <c r="E3" s="48"/>
      <c r="F3" s="48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45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39</v>
      </c>
      <c r="C11" s="38" t="s">
        <v>23</v>
      </c>
      <c r="D11" s="43">
        <f>D18+D19+D20</f>
        <v>817.02700000000004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23</v>
      </c>
      <c r="D12" s="43">
        <f>D11</f>
        <v>817.02700000000004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26</v>
      </c>
      <c r="B13" s="19" t="s">
        <v>40</v>
      </c>
      <c r="C13" s="38" t="s">
        <v>23</v>
      </c>
      <c r="D13" s="43">
        <f>D11</f>
        <v>817.02700000000004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27</v>
      </c>
      <c r="B14" s="19" t="s">
        <v>25</v>
      </c>
      <c r="C14" s="38" t="s">
        <v>34</v>
      </c>
      <c r="D14" s="44">
        <v>2</v>
      </c>
      <c r="E14" s="21"/>
      <c r="F14" s="24">
        <f>ROUND(D14*E14,0)</f>
        <v>0</v>
      </c>
      <c r="G14" s="2"/>
    </row>
    <row r="15" spans="1:7" s="23" customFormat="1" ht="17.25" customHeight="1">
      <c r="A15" s="18" t="s">
        <v>28</v>
      </c>
      <c r="B15" s="19" t="s">
        <v>30</v>
      </c>
      <c r="C15" s="38" t="s">
        <v>34</v>
      </c>
      <c r="D15" s="44">
        <v>2</v>
      </c>
      <c r="E15" s="21"/>
      <c r="F15" s="24">
        <f t="shared" ref="F15:F25" si="0">ROUND(D15*E15,0)</f>
        <v>0</v>
      </c>
      <c r="G15" s="2"/>
    </row>
    <row r="16" spans="1:7" s="23" customFormat="1" ht="30" customHeight="1">
      <c r="A16" s="18" t="s">
        <v>29</v>
      </c>
      <c r="B16" s="19" t="s">
        <v>31</v>
      </c>
      <c r="C16" s="38" t="s">
        <v>34</v>
      </c>
      <c r="D16" s="44">
        <v>2</v>
      </c>
      <c r="E16" s="21"/>
      <c r="F16" s="24">
        <f t="shared" si="0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0"/>
        <v>0</v>
      </c>
      <c r="G17" s="2"/>
    </row>
    <row r="18" spans="1:7" s="23" customFormat="1" ht="15" customHeight="1">
      <c r="A18" s="18" t="s">
        <v>17</v>
      </c>
      <c r="B18" s="19" t="s">
        <v>37</v>
      </c>
      <c r="C18" s="38" t="s">
        <v>23</v>
      </c>
      <c r="D18" s="43">
        <f>(53*2.8)-(0.8*2+1.6*1.1*4+0.6*0.8*2+0.8*1.1*2+0.8*0.8*2+1*2.1*2+1.2*1*2)+(12.2*2.8)-(1.36*2.3+2.1*2.1+1.15*2.1)+ (53*2.8)-(0.8*2+1.6*1.1*4+0.6*0.8*2+0.8*1.1*2+0.8*0.8*2+1*2.1*2+1.2*1*2)+(5*2.8)+(53*2.8)-(0.8*2+1.6*1.1*4+0.6*0.8*2+0.8*1.1*2+0.8*0.8*2+1*2.1*2+1.2*1*2)+(5*2.8)+(0.95*3.8*2)+(1.5*4)+(3.8*2)</f>
        <v>460.50699999999995</v>
      </c>
      <c r="E18" s="21"/>
      <c r="F18" s="24">
        <f t="shared" si="0"/>
        <v>0</v>
      </c>
      <c r="G18" s="2"/>
    </row>
    <row r="19" spans="1:7" s="23" customFormat="1" ht="40" customHeight="1">
      <c r="A19" s="18" t="s">
        <v>16</v>
      </c>
      <c r="B19" s="19" t="s">
        <v>42</v>
      </c>
      <c r="C19" s="38" t="s">
        <v>23</v>
      </c>
      <c r="D19" s="43">
        <f>7*1.6+0.7*2+1*2+2.6*0.3+6.2*0.3+5*0.3+7.6+11.7+1.5+7.6+3.2*4+20*2</f>
        <v>99.940000000000012</v>
      </c>
      <c r="E19" s="21"/>
      <c r="F19" s="24">
        <f>ROUND(D19*E19,0)</f>
        <v>0</v>
      </c>
      <c r="G19" s="2"/>
    </row>
    <row r="20" spans="1:7" s="23" customFormat="1" ht="40" customHeight="1">
      <c r="A20" s="18" t="s">
        <v>41</v>
      </c>
      <c r="B20" s="19" t="s">
        <v>43</v>
      </c>
      <c r="C20" s="38" t="s">
        <v>23</v>
      </c>
      <c r="D20" s="43">
        <f>(5.7*1.9*6)+(0.8*2.3*6)+12*4+((8*2.5)-(2.4*2.1+0.8*2))*4+((8*3)-(2.4*2.1+0.8*2))*2+11.1*4</f>
        <v>256.58</v>
      </c>
      <c r="E20" s="21"/>
      <c r="F20" s="24">
        <f>ROUND(D20*E20,0)</f>
        <v>0</v>
      </c>
      <c r="G20" s="2"/>
    </row>
    <row r="21" spans="1:7" s="23" customFormat="1" ht="17.149999999999999" customHeight="1">
      <c r="A21" s="17" t="s">
        <v>18</v>
      </c>
      <c r="B21" s="31" t="s">
        <v>19</v>
      </c>
      <c r="C21" s="38"/>
      <c r="D21" s="43"/>
      <c r="E21" s="21"/>
      <c r="F21" s="24">
        <f t="shared" si="0"/>
        <v>0</v>
      </c>
      <c r="G21" s="2"/>
    </row>
    <row r="22" spans="1:7" s="23" customFormat="1" ht="29" customHeight="1">
      <c r="A22" s="18" t="s">
        <v>20</v>
      </c>
      <c r="B22" s="19" t="s">
        <v>46</v>
      </c>
      <c r="C22" s="38" t="s">
        <v>23</v>
      </c>
      <c r="D22" s="43">
        <f>(2.1*1*6)+(5.7*3)</f>
        <v>29.700000000000003</v>
      </c>
      <c r="E22" s="21"/>
      <c r="F22" s="24">
        <f t="shared" si="0"/>
        <v>0</v>
      </c>
      <c r="G22" s="2"/>
    </row>
    <row r="23" spans="1:7" s="23" customFormat="1" ht="15" customHeight="1">
      <c r="A23" s="18" t="s">
        <v>20</v>
      </c>
      <c r="B23" s="19" t="s">
        <v>47</v>
      </c>
      <c r="C23" s="38" t="s">
        <v>24</v>
      </c>
      <c r="D23" s="43">
        <f>68+20+4.2*2+5*2+7*12.5+18</f>
        <v>211.9</v>
      </c>
      <c r="E23" s="21"/>
      <c r="F23" s="24">
        <f t="shared" ref="F23" si="1">ROUND(D23*E23,0)</f>
        <v>0</v>
      </c>
      <c r="G23" s="2"/>
    </row>
    <row r="24" spans="1:7" s="23" customFormat="1" ht="15" customHeight="1">
      <c r="A24" s="18" t="s">
        <v>20</v>
      </c>
      <c r="B24" s="19" t="s">
        <v>51</v>
      </c>
      <c r="C24" s="38" t="s">
        <v>23</v>
      </c>
      <c r="D24" s="43">
        <f>40</f>
        <v>40</v>
      </c>
      <c r="E24" s="21"/>
      <c r="F24" s="24">
        <f t="shared" ref="F24" si="2">ROUND(D24*E24,0)</f>
        <v>0</v>
      </c>
      <c r="G24" s="2"/>
    </row>
    <row r="25" spans="1:7" s="23" customFormat="1" ht="17.25" customHeight="1">
      <c r="A25" s="17" t="s">
        <v>21</v>
      </c>
      <c r="B25" s="31" t="s">
        <v>22</v>
      </c>
      <c r="C25" s="38" t="s">
        <v>24</v>
      </c>
      <c r="D25" s="43">
        <f>51</f>
        <v>51</v>
      </c>
      <c r="E25" s="21"/>
      <c r="F25" s="24">
        <f t="shared" si="0"/>
        <v>0</v>
      </c>
      <c r="G25" s="2"/>
    </row>
    <row r="26" spans="1:7" s="23" customFormat="1" ht="17.25" customHeight="1">
      <c r="A26" s="17" t="s">
        <v>32</v>
      </c>
      <c r="B26" s="31" t="s">
        <v>33</v>
      </c>
      <c r="C26" s="38"/>
      <c r="D26" s="43"/>
      <c r="E26" s="21"/>
      <c r="F26" s="24"/>
      <c r="G26" s="2"/>
    </row>
    <row r="27" spans="1:7" s="23" customFormat="1" ht="17.25" customHeight="1">
      <c r="A27" s="18"/>
      <c r="B27" s="19" t="s">
        <v>49</v>
      </c>
      <c r="C27" s="38" t="s">
        <v>24</v>
      </c>
      <c r="D27" s="43">
        <f>36.5+11*6</f>
        <v>102.5</v>
      </c>
      <c r="E27" s="21"/>
      <c r="F27" s="24">
        <f>ROUND(D27*E27,0)</f>
        <v>0</v>
      </c>
      <c r="G27" s="2"/>
    </row>
    <row r="28" spans="1:7" s="23" customFormat="1" ht="17.25" customHeight="1">
      <c r="A28" s="18"/>
      <c r="B28" s="19" t="s">
        <v>50</v>
      </c>
      <c r="C28" s="38" t="s">
        <v>23</v>
      </c>
      <c r="D28" s="43">
        <f>1.2*2+4.4+2.2+18.2+12.5</f>
        <v>39.700000000000003</v>
      </c>
      <c r="E28" s="21"/>
      <c r="F28" s="24">
        <f>ROUND(D28*E28,0)</f>
        <v>0</v>
      </c>
      <c r="G28" s="2"/>
    </row>
    <row r="29" spans="1:7" s="23" customFormat="1" ht="17.25" customHeight="1">
      <c r="A29" s="18"/>
      <c r="B29" s="19"/>
      <c r="C29" s="38"/>
      <c r="D29" s="42"/>
      <c r="E29" s="21"/>
      <c r="F29" s="24"/>
      <c r="G29" s="2"/>
    </row>
    <row r="30" spans="1:7" s="23" customFormat="1" ht="17.25" customHeight="1">
      <c r="A30" s="25"/>
      <c r="B30" s="26"/>
      <c r="C30" s="27"/>
      <c r="D30" s="28"/>
      <c r="E30" s="29"/>
      <c r="F30" s="30"/>
      <c r="G30" s="2"/>
    </row>
    <row r="31" spans="1:7" s="22" customFormat="1" ht="20.149999999999999" customHeight="1">
      <c r="A31" s="1"/>
      <c r="B31" s="4"/>
      <c r="C31" s="3"/>
      <c r="D31" s="3"/>
      <c r="E31" s="4"/>
      <c r="F31" s="37"/>
      <c r="G31" s="2"/>
    </row>
    <row r="32" spans="1:7" s="22" customFormat="1" ht="18" customHeight="1" thickBot="1">
      <c r="A32" s="1"/>
      <c r="B32" s="47" t="s">
        <v>3</v>
      </c>
      <c r="C32" s="47"/>
      <c r="D32" s="47"/>
      <c r="E32" s="47"/>
      <c r="F32" s="37"/>
      <c r="G32" s="2"/>
    </row>
    <row r="33" spans="1:7" s="22" customFormat="1" ht="21" customHeight="1" thickBot="1">
      <c r="A33" s="40"/>
      <c r="B33" s="45" t="s">
        <v>4</v>
      </c>
      <c r="C33" s="45"/>
      <c r="D33" s="45"/>
      <c r="E33" s="46"/>
      <c r="F33" s="41">
        <f>SUM(F9:F30)</f>
        <v>0</v>
      </c>
      <c r="G33" s="2"/>
    </row>
    <row r="34" spans="1:7" s="22" customFormat="1" ht="21" customHeight="1" thickBot="1">
      <c r="A34" s="40"/>
      <c r="B34" s="45" t="s">
        <v>35</v>
      </c>
      <c r="C34" s="45"/>
      <c r="D34" s="45"/>
      <c r="E34" s="46"/>
      <c r="F34" s="41">
        <f>ROUND(F33*6%,0)</f>
        <v>0</v>
      </c>
      <c r="G34" s="2"/>
    </row>
    <row r="35" spans="1:7" s="22" customFormat="1" ht="21" customHeight="1" thickBot="1">
      <c r="A35" s="40"/>
      <c r="B35" s="45" t="s">
        <v>36</v>
      </c>
      <c r="C35" s="45"/>
      <c r="D35" s="45"/>
      <c r="E35" s="46"/>
      <c r="F35" s="41">
        <f>F33+F34</f>
        <v>0</v>
      </c>
      <c r="G35" s="2"/>
    </row>
  </sheetData>
  <mergeCells count="5">
    <mergeCell ref="B35:E35"/>
    <mergeCell ref="B34:E34"/>
    <mergeCell ref="B33:E33"/>
    <mergeCell ref="B32:E32"/>
    <mergeCell ref="B3:F3"/>
  </mergeCells>
  <phoneticPr fontId="19" type="noConversion"/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OCTOBRE 2025</oddHeader>
    <oddFooter>&amp;CDPGF - LOT 10 - PEINTURE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AD1C6-95FE-4B73-959C-484B0305FF99}">
  <sheetPr>
    <pageSetUpPr fitToPage="1"/>
  </sheetPr>
  <dimension ref="A1:G34"/>
  <sheetViews>
    <sheetView tabSelected="1" topLeftCell="A2" zoomScaleNormal="100" workbookViewId="0">
      <selection activeCell="E11" sqref="E11:E28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81640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44</v>
      </c>
      <c r="C2" s="3"/>
      <c r="D2" s="3"/>
      <c r="E2" s="8"/>
      <c r="F2" s="8"/>
      <c r="G2" s="2"/>
    </row>
    <row r="3" spans="1:7" s="22" customFormat="1" ht="28.4" customHeight="1">
      <c r="A3" s="1"/>
      <c r="B3" s="48" t="s">
        <v>38</v>
      </c>
      <c r="C3" s="48"/>
      <c r="D3" s="48"/>
      <c r="E3" s="48"/>
      <c r="F3" s="48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59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39</v>
      </c>
      <c r="C11" s="38" t="s">
        <v>23</v>
      </c>
      <c r="D11" s="43">
        <f>'10-NOURE - Bât. A'!D11+'10-NOURE - Bât. B'!D11+'10-NOURE - Bât. C'!D11+'10-NOURE - Bât. D'!D11+'10-NOURE - Bât. E'!D11+'10-NOURE - Bât. F'!D11+'10-NOURE - Bât. G'!D11+'10-NOURE - Bât. H1'!D11+'10-NOURE - Bât. H2'!D11</f>
        <v>6857.5470000000005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23</v>
      </c>
      <c r="D12" s="43">
        <f>'10-NOURE - Bât. A'!D12+'10-NOURE - Bât. B'!D12+'10-NOURE - Bât. C'!D12+'10-NOURE - Bât. D'!D12+'10-NOURE - Bât. E'!D12+'10-NOURE - Bât. F'!D12+'10-NOURE - Bât. G'!D12+'10-NOURE - Bât. H1'!D12+'10-NOURE - Bât. H2'!D12</f>
        <v>6857.5470000000005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26</v>
      </c>
      <c r="B13" s="19" t="s">
        <v>40</v>
      </c>
      <c r="C13" s="38" t="s">
        <v>23</v>
      </c>
      <c r="D13" s="43">
        <f>'10-NOURE - Bât. A'!D13+'10-NOURE - Bât. B'!D13+'10-NOURE - Bât. C'!D13+'10-NOURE - Bât. D'!D13+'10-NOURE - Bât. E'!D13+'10-NOURE - Bât. F'!D13+'10-NOURE - Bât. G'!D13+'10-NOURE - Bât. H1'!D13+'10-NOURE - Bât. H2'!D13</f>
        <v>6857.5470000000005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27</v>
      </c>
      <c r="B14" s="19" t="s">
        <v>25</v>
      </c>
      <c r="C14" s="38" t="s">
        <v>34</v>
      </c>
      <c r="D14" s="43">
        <f>'10-NOURE - Bât. A'!D14+'10-NOURE - Bât. B'!D14+'10-NOURE - Bât. C'!D14+'10-NOURE - Bât. D'!D14+'10-NOURE - Bât. E'!D14+'10-NOURE - Bât. F'!D14+'10-NOURE - Bât. G'!D14+'10-NOURE - Bât. H1'!D14+'10-NOURE - Bât. H2'!D14</f>
        <v>14</v>
      </c>
      <c r="E14" s="21"/>
      <c r="F14" s="24">
        <f t="shared" ref="F14:F25" si="0">ROUND(D14*E14,0)</f>
        <v>0</v>
      </c>
      <c r="G14" s="2"/>
    </row>
    <row r="15" spans="1:7" s="23" customFormat="1" ht="17.25" customHeight="1">
      <c r="A15" s="18" t="s">
        <v>28</v>
      </c>
      <c r="B15" s="19" t="s">
        <v>30</v>
      </c>
      <c r="C15" s="38" t="s">
        <v>34</v>
      </c>
      <c r="D15" s="43">
        <f>'10-NOURE - Bât. A'!D15+'10-NOURE - Bât. B'!D15+'10-NOURE - Bât. C'!D15+'10-NOURE - Bât. D'!D15+'10-NOURE - Bât. E'!D15+'10-NOURE - Bât. F'!D15+'10-NOURE - Bât. G'!D15+'10-NOURE - Bât. H1'!D15+'10-NOURE - Bât. H2'!D15</f>
        <v>14</v>
      </c>
      <c r="E15" s="21"/>
      <c r="F15" s="24">
        <f t="shared" si="0"/>
        <v>0</v>
      </c>
      <c r="G15" s="2"/>
    </row>
    <row r="16" spans="1:7" s="23" customFormat="1" ht="30" customHeight="1">
      <c r="A16" s="18" t="s">
        <v>29</v>
      </c>
      <c r="B16" s="19" t="s">
        <v>31</v>
      </c>
      <c r="C16" s="38" t="s">
        <v>34</v>
      </c>
      <c r="D16" s="43">
        <f>'10-NOURE - Bât. A'!D16+'10-NOURE - Bât. B'!D16+'10-NOURE - Bât. C'!D16+'10-NOURE - Bât. D'!D16+'10-NOURE - Bât. E'!D16+'10-NOURE - Bât. F'!D16+'10-NOURE - Bât. G'!D16+'10-NOURE - Bât. H1'!D16+'10-NOURE - Bât. H2'!D16</f>
        <v>14</v>
      </c>
      <c r="E16" s="21"/>
      <c r="F16" s="24">
        <f t="shared" si="0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0"/>
        <v>0</v>
      </c>
      <c r="G17" s="2"/>
    </row>
    <row r="18" spans="1:7" s="23" customFormat="1" ht="15" customHeight="1">
      <c r="A18" s="18" t="s">
        <v>17</v>
      </c>
      <c r="B18" s="19" t="s">
        <v>37</v>
      </c>
      <c r="C18" s="38" t="s">
        <v>23</v>
      </c>
      <c r="D18" s="43">
        <f>'10-NOURE - Bât. A'!D18+'10-NOURE - Bât. B'!D18+'10-NOURE - Bât. C'!D18+'10-NOURE - Bât. D'!D18+'10-NOURE - Bât. E'!D18+'10-NOURE - Bât. F'!D18+'10-NOURE - Bât. G'!D18+'10-NOURE - Bât. H1'!D18+'10-NOURE - Bât. H2'!D18</f>
        <v>3890.9569999999994</v>
      </c>
      <c r="E18" s="21"/>
      <c r="F18" s="24">
        <f t="shared" si="0"/>
        <v>0</v>
      </c>
      <c r="G18" s="2"/>
    </row>
    <row r="19" spans="1:7" s="23" customFormat="1" ht="40" customHeight="1">
      <c r="A19" s="18" t="s">
        <v>16</v>
      </c>
      <c r="B19" s="19" t="s">
        <v>42</v>
      </c>
      <c r="C19" s="38" t="s">
        <v>23</v>
      </c>
      <c r="D19" s="43">
        <f>'10-NOURE - Bât. A'!D19+'10-NOURE - Bât. B'!D19+'10-NOURE - Bât. C'!D19+'10-NOURE - Bât. D'!D19+'10-NOURE - Bât. E'!D19+'10-NOURE - Bât. F'!D19+'10-NOURE - Bât. G'!D19+'10-NOURE - Bât. H1'!D19+'10-NOURE - Bât. H2'!D19</f>
        <v>767.11</v>
      </c>
      <c r="E19" s="21"/>
      <c r="F19" s="24">
        <f>ROUND(D19*E19,0)</f>
        <v>0</v>
      </c>
      <c r="G19" s="2"/>
    </row>
    <row r="20" spans="1:7" s="23" customFormat="1" ht="40" customHeight="1">
      <c r="A20" s="18" t="s">
        <v>41</v>
      </c>
      <c r="B20" s="19" t="s">
        <v>43</v>
      </c>
      <c r="C20" s="38" t="s">
        <v>23</v>
      </c>
      <c r="D20" s="43">
        <f>'10-NOURE - Bât. A'!D20+'10-NOURE - Bât. B'!D20+'10-NOURE - Bât. C'!D20+'10-NOURE - Bât. D'!D20+'10-NOURE - Bât. E'!D20+'10-NOURE - Bât. F'!D20+'10-NOURE - Bât. G'!D20+'10-NOURE - Bât. H1'!D20+'10-NOURE - Bât. H2'!D20</f>
        <v>2199.48</v>
      </c>
      <c r="E20" s="21"/>
      <c r="F20" s="24">
        <f>ROUND(D20*E20,0)</f>
        <v>0</v>
      </c>
      <c r="G20" s="2"/>
    </row>
    <row r="21" spans="1:7" s="23" customFormat="1" ht="17.149999999999999" customHeight="1">
      <c r="A21" s="17" t="s">
        <v>18</v>
      </c>
      <c r="B21" s="31" t="s">
        <v>19</v>
      </c>
      <c r="C21" s="38"/>
      <c r="D21" s="43"/>
      <c r="E21" s="21"/>
      <c r="F21" s="24">
        <f t="shared" si="0"/>
        <v>0</v>
      </c>
      <c r="G21" s="2"/>
    </row>
    <row r="22" spans="1:7" s="23" customFormat="1" ht="29" customHeight="1">
      <c r="A22" s="18" t="s">
        <v>20</v>
      </c>
      <c r="B22" s="19" t="s">
        <v>46</v>
      </c>
      <c r="C22" s="38" t="s">
        <v>23</v>
      </c>
      <c r="D22" s="43">
        <f>'10-NOURE - Bât. A'!D22+'10-NOURE - Bât. B'!D22+'10-NOURE - Bât. C'!D22+'10-NOURE - Bât. D'!D22+'10-NOURE - Bât. E'!D22+'10-NOURE - Bât. F'!D22+'10-NOURE - Bât. G'!D22+'10-NOURE - Bât. H1'!D22+'10-NOURE - Bât. H2'!D22</f>
        <v>198.60000000000002</v>
      </c>
      <c r="E22" s="21"/>
      <c r="F22" s="24">
        <f t="shared" si="0"/>
        <v>0</v>
      </c>
      <c r="G22" s="2"/>
    </row>
    <row r="23" spans="1:7" s="23" customFormat="1" ht="15" customHeight="1">
      <c r="A23" s="18" t="s">
        <v>20</v>
      </c>
      <c r="B23" s="19" t="s">
        <v>47</v>
      </c>
      <c r="C23" s="38" t="s">
        <v>24</v>
      </c>
      <c r="D23" s="43">
        <f>'10-NOURE - Bât. A'!D23+'10-NOURE - Bât. B'!D23+'10-NOURE - Bât. C'!D23+'10-NOURE - Bât. D'!D23+'10-NOURE - Bât. E'!D23+'10-NOURE - Bât. F'!D23+'10-NOURE - Bât. G'!D23+'10-NOURE - Bât. H1'!D23+'10-NOURE - Bât. H2'!D23</f>
        <v>1448.8000000000002</v>
      </c>
      <c r="E23" s="21"/>
      <c r="F23" s="24">
        <f t="shared" si="0"/>
        <v>0</v>
      </c>
      <c r="G23" s="2"/>
    </row>
    <row r="24" spans="1:7" s="23" customFormat="1" ht="15" customHeight="1">
      <c r="A24" s="18" t="s">
        <v>20</v>
      </c>
      <c r="B24" s="19" t="s">
        <v>51</v>
      </c>
      <c r="C24" s="38" t="s">
        <v>23</v>
      </c>
      <c r="D24" s="43">
        <f>'10-NOURE - Bât. A'!D24+'10-NOURE - Bât. B'!D24+'10-NOURE - Bât. C'!D24+'10-NOURE - Bât. D'!D24+'10-NOURE - Bât. E'!D24+'10-NOURE - Bât. F'!D24+'10-NOURE - Bât. G'!D24+'10-NOURE - Bât. H1'!D24+'10-NOURE - Bât. H2'!D24</f>
        <v>78</v>
      </c>
      <c r="E24" s="21"/>
      <c r="F24" s="24">
        <f t="shared" si="0"/>
        <v>0</v>
      </c>
      <c r="G24" s="2"/>
    </row>
    <row r="25" spans="1:7" s="23" customFormat="1" ht="17.25" customHeight="1">
      <c r="A25" s="17" t="s">
        <v>21</v>
      </c>
      <c r="B25" s="31" t="s">
        <v>22</v>
      </c>
      <c r="C25" s="38" t="s">
        <v>24</v>
      </c>
      <c r="D25" s="43">
        <f>'10-NOURE - Bât. A'!D25+'10-NOURE - Bât. B'!D25+'10-NOURE - Bât. C'!D25+'10-NOURE - Bât. D'!D25+'10-NOURE - Bât. E'!D25+'10-NOURE - Bât. F'!D25+'10-NOURE - Bât. G'!D25+'10-NOURE - Bât. H1'!D25+'10-NOURE - Bât. H2'!D25</f>
        <v>367</v>
      </c>
      <c r="E25" s="21"/>
      <c r="F25" s="24">
        <f t="shared" si="0"/>
        <v>0</v>
      </c>
      <c r="G25" s="2"/>
    </row>
    <row r="26" spans="1:7" s="23" customFormat="1" ht="17.25" customHeight="1">
      <c r="A26" s="17" t="s">
        <v>32</v>
      </c>
      <c r="B26" s="31" t="s">
        <v>33</v>
      </c>
      <c r="C26" s="38"/>
      <c r="D26" s="43"/>
      <c r="E26" s="21"/>
      <c r="F26" s="24"/>
      <c r="G26" s="2"/>
    </row>
    <row r="27" spans="1:7" s="23" customFormat="1" ht="17.25" customHeight="1">
      <c r="A27" s="18"/>
      <c r="B27" s="19" t="s">
        <v>49</v>
      </c>
      <c r="C27" s="38" t="s">
        <v>24</v>
      </c>
      <c r="D27" s="43">
        <f>'10-NOURE - Bât. A'!D27+'10-NOURE - Bât. B'!D27+'10-NOURE - Bât. C'!D27+'10-NOURE - Bât. D'!D27+'10-NOURE - Bât. E'!D27+'10-NOURE - Bât. F'!D27+'10-NOURE - Bât. G'!D27+'10-NOURE - Bât. H1'!D27+'10-NOURE - Bât. H2'!D27</f>
        <v>276.10000000000002</v>
      </c>
      <c r="E27" s="21"/>
      <c r="F27" s="24">
        <f t="shared" ref="F27:F28" si="1">ROUND(D27*E27,0)</f>
        <v>0</v>
      </c>
      <c r="G27" s="2"/>
    </row>
    <row r="28" spans="1:7" s="23" customFormat="1" ht="17.25" customHeight="1">
      <c r="A28" s="18"/>
      <c r="B28" s="19" t="s">
        <v>50</v>
      </c>
      <c r="C28" s="38" t="s">
        <v>23</v>
      </c>
      <c r="D28" s="43">
        <f>'10-NOURE - Bât. A'!D28+'10-NOURE - Bât. B'!D28+'10-NOURE - Bât. C'!D28+'10-NOURE - Bât. D'!D28+'10-NOURE - Bât. E'!D28+'10-NOURE - Bât. F'!D28+'10-NOURE - Bât. G'!D28+'10-NOURE - Bât. H1'!D28+'10-NOURE - Bât. H2'!D28</f>
        <v>696.5</v>
      </c>
      <c r="E28" s="21"/>
      <c r="F28" s="24">
        <f t="shared" si="1"/>
        <v>0</v>
      </c>
      <c r="G28" s="2"/>
    </row>
    <row r="29" spans="1:7" s="23" customFormat="1" ht="17.25" customHeight="1">
      <c r="A29" s="18"/>
      <c r="B29" s="19"/>
      <c r="C29" s="38"/>
      <c r="D29" s="42"/>
      <c r="E29" s="21"/>
      <c r="F29" s="24"/>
      <c r="G29" s="2"/>
    </row>
    <row r="30" spans="1:7" s="23" customFormat="1" ht="17.25" customHeight="1">
      <c r="A30" s="25"/>
      <c r="B30" s="26"/>
      <c r="C30" s="27"/>
      <c r="D30" s="28"/>
      <c r="E30" s="29"/>
      <c r="F30" s="30"/>
      <c r="G30" s="2"/>
    </row>
    <row r="31" spans="1:7" s="22" customFormat="1" ht="18" customHeight="1" thickBot="1">
      <c r="A31" s="1"/>
      <c r="B31" s="47"/>
      <c r="C31" s="47"/>
      <c r="D31" s="47"/>
      <c r="E31" s="47"/>
      <c r="F31" s="37"/>
      <c r="G31" s="2"/>
    </row>
    <row r="32" spans="1:7" s="22" customFormat="1" ht="21" customHeight="1" thickBot="1">
      <c r="A32" s="40"/>
      <c r="B32" s="45" t="s">
        <v>4</v>
      </c>
      <c r="C32" s="45"/>
      <c r="D32" s="45"/>
      <c r="E32" s="46"/>
      <c r="F32" s="41">
        <f>SUM(F9:F30)</f>
        <v>0</v>
      </c>
      <c r="G32" s="2"/>
    </row>
    <row r="33" spans="1:7" s="22" customFormat="1" ht="21" customHeight="1" thickBot="1">
      <c r="A33" s="40"/>
      <c r="B33" s="45" t="s">
        <v>35</v>
      </c>
      <c r="C33" s="45"/>
      <c r="D33" s="45"/>
      <c r="E33" s="46"/>
      <c r="F33" s="41">
        <f>ROUND(F32*6%,0)</f>
        <v>0</v>
      </c>
      <c r="G33" s="2"/>
    </row>
    <row r="34" spans="1:7" s="22" customFormat="1" ht="21" customHeight="1" thickBot="1">
      <c r="A34" s="40"/>
      <c r="B34" s="45" t="s">
        <v>36</v>
      </c>
      <c r="C34" s="45"/>
      <c r="D34" s="45"/>
      <c r="E34" s="46"/>
      <c r="F34" s="41">
        <f>F32+F33</f>
        <v>0</v>
      </c>
      <c r="G34" s="2"/>
    </row>
  </sheetData>
  <mergeCells count="5">
    <mergeCell ref="B3:F3"/>
    <mergeCell ref="B31:E31"/>
    <mergeCell ref="B32:E32"/>
    <mergeCell ref="B33:E33"/>
    <mergeCell ref="B34:E34"/>
  </mergeCells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OCTOBRE 2025</oddHeader>
    <oddFooter>&amp;CDPGF - LOT 10 - PEINTURE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7C748-8244-478D-ABED-9B9A694B2D54}">
  <sheetPr>
    <pageSetUpPr fitToPage="1"/>
  </sheetPr>
  <dimension ref="A1:G35"/>
  <sheetViews>
    <sheetView topLeftCell="A7" zoomScaleNormal="100" workbookViewId="0">
      <selection activeCell="E11" sqref="E11:E28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81640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44</v>
      </c>
      <c r="C2" s="3"/>
      <c r="D2" s="3"/>
      <c r="E2" s="8"/>
      <c r="F2" s="8"/>
      <c r="G2" s="2"/>
    </row>
    <row r="3" spans="1:7" s="22" customFormat="1" ht="28.4" customHeight="1">
      <c r="A3" s="1"/>
      <c r="B3" s="48" t="s">
        <v>38</v>
      </c>
      <c r="C3" s="48"/>
      <c r="D3" s="48"/>
      <c r="E3" s="48"/>
      <c r="F3" s="48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48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39</v>
      </c>
      <c r="C11" s="38" t="s">
        <v>23</v>
      </c>
      <c r="D11" s="43">
        <f>D18+D19+D20</f>
        <v>583.91999999999996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23</v>
      </c>
      <c r="D12" s="43">
        <f>D11</f>
        <v>583.91999999999996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26</v>
      </c>
      <c r="B13" s="19" t="s">
        <v>40</v>
      </c>
      <c r="C13" s="38" t="s">
        <v>23</v>
      </c>
      <c r="D13" s="43">
        <f>D11</f>
        <v>583.91999999999996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27</v>
      </c>
      <c r="B14" s="19" t="s">
        <v>25</v>
      </c>
      <c r="C14" s="38" t="s">
        <v>34</v>
      </c>
      <c r="D14" s="44">
        <v>2</v>
      </c>
      <c r="E14" s="21"/>
      <c r="F14" s="24">
        <f>ROUND(D14*E14,0)</f>
        <v>0</v>
      </c>
      <c r="G14" s="2"/>
    </row>
    <row r="15" spans="1:7" s="23" customFormat="1" ht="17.25" customHeight="1">
      <c r="A15" s="18" t="s">
        <v>28</v>
      </c>
      <c r="B15" s="19" t="s">
        <v>30</v>
      </c>
      <c r="C15" s="38" t="s">
        <v>34</v>
      </c>
      <c r="D15" s="44">
        <v>2</v>
      </c>
      <c r="E15" s="21"/>
      <c r="F15" s="24">
        <f t="shared" ref="F15:F25" si="0">ROUND(D15*E15,0)</f>
        <v>0</v>
      </c>
      <c r="G15" s="2"/>
    </row>
    <row r="16" spans="1:7" s="23" customFormat="1" ht="30" customHeight="1">
      <c r="A16" s="18" t="s">
        <v>29</v>
      </c>
      <c r="B16" s="19" t="s">
        <v>31</v>
      </c>
      <c r="C16" s="38" t="s">
        <v>34</v>
      </c>
      <c r="D16" s="44">
        <v>2</v>
      </c>
      <c r="E16" s="21"/>
      <c r="F16" s="24">
        <f t="shared" si="0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0"/>
        <v>0</v>
      </c>
      <c r="G17" s="2"/>
    </row>
    <row r="18" spans="1:7" s="23" customFormat="1" ht="15" customHeight="1">
      <c r="A18" s="18" t="s">
        <v>17</v>
      </c>
      <c r="B18" s="19" t="s">
        <v>37</v>
      </c>
      <c r="C18" s="38" t="s">
        <v>23</v>
      </c>
      <c r="D18" s="43">
        <f>(73*2.8)-(0.9*1.1*2+1.6*1.1*4+1.8*1*2+0.6*0.8*2+1*2.1*4+0.8*0.8*2+0.9*2*2)+(75*2.8)-(1.8*1.1*2+1.6*1.1*10+0.8*1.1*4+0.6*0.8*2)+40</f>
        <v>401.49999999999994</v>
      </c>
      <c r="E18" s="21"/>
      <c r="F18" s="24">
        <f t="shared" si="0"/>
        <v>0</v>
      </c>
      <c r="G18" s="2"/>
    </row>
    <row r="19" spans="1:7" s="23" customFormat="1" ht="40" customHeight="1">
      <c r="A19" s="18" t="s">
        <v>16</v>
      </c>
      <c r="B19" s="19" t="s">
        <v>42</v>
      </c>
      <c r="C19" s="38" t="s">
        <v>23</v>
      </c>
      <c r="D19" s="43">
        <f>12*(0.8*2.95)+6.5+(38.6+7.4)*0.3</f>
        <v>48.620000000000005</v>
      </c>
      <c r="E19" s="21"/>
      <c r="F19" s="24">
        <f>ROUND(D19*E19,0)</f>
        <v>0</v>
      </c>
      <c r="G19" s="2"/>
    </row>
    <row r="20" spans="1:7" s="23" customFormat="1" ht="40" customHeight="1">
      <c r="A20" s="18" t="s">
        <v>41</v>
      </c>
      <c r="B20" s="19" t="s">
        <v>43</v>
      </c>
      <c r="C20" s="38" t="s">
        <v>23</v>
      </c>
      <c r="D20" s="43">
        <f>(6.4*3.3-1.8*2.1+5.2*1.9)*2+(24.6*3.3-1.8*2.1*2-1.8*1.1*2)+9.7</f>
        <v>133.80000000000001</v>
      </c>
      <c r="E20" s="21"/>
      <c r="F20" s="24">
        <f>ROUND(D20*E20,0)</f>
        <v>0</v>
      </c>
      <c r="G20" s="2"/>
    </row>
    <row r="21" spans="1:7" s="23" customFormat="1" ht="17.149999999999999" customHeight="1">
      <c r="A21" s="17" t="s">
        <v>18</v>
      </c>
      <c r="B21" s="31" t="s">
        <v>19</v>
      </c>
      <c r="C21" s="38"/>
      <c r="D21" s="43"/>
      <c r="E21" s="21"/>
      <c r="F21" s="24">
        <f t="shared" si="0"/>
        <v>0</v>
      </c>
      <c r="G21" s="2"/>
    </row>
    <row r="22" spans="1:7" s="23" customFormat="1" ht="29" customHeight="1">
      <c r="A22" s="18" t="s">
        <v>20</v>
      </c>
      <c r="B22" s="19" t="s">
        <v>46</v>
      </c>
      <c r="C22" s="38" t="s">
        <v>23</v>
      </c>
      <c r="D22" s="43">
        <f>(1*2.1)*4</f>
        <v>8.4</v>
      </c>
      <c r="E22" s="21"/>
      <c r="F22" s="24">
        <f t="shared" si="0"/>
        <v>0</v>
      </c>
      <c r="G22" s="2"/>
    </row>
    <row r="23" spans="1:7" s="23" customFormat="1" ht="15" customHeight="1">
      <c r="A23" s="18" t="s">
        <v>20</v>
      </c>
      <c r="B23" s="19" t="s">
        <v>47</v>
      </c>
      <c r="C23" s="38" t="s">
        <v>24</v>
      </c>
      <c r="D23" s="43">
        <f>26+77+18.5+4*2</f>
        <v>129.5</v>
      </c>
      <c r="E23" s="21"/>
      <c r="F23" s="24">
        <f t="shared" si="0"/>
        <v>0</v>
      </c>
      <c r="G23" s="2"/>
    </row>
    <row r="24" spans="1:7" s="23" customFormat="1" ht="15" customHeight="1">
      <c r="A24" s="18" t="s">
        <v>20</v>
      </c>
      <c r="B24" s="19" t="s">
        <v>51</v>
      </c>
      <c r="C24" s="38" t="s">
        <v>23</v>
      </c>
      <c r="D24" s="43">
        <f>2.5*1.4*2*2</f>
        <v>14</v>
      </c>
      <c r="E24" s="21"/>
      <c r="F24" s="24">
        <f t="shared" si="0"/>
        <v>0</v>
      </c>
      <c r="G24" s="2"/>
    </row>
    <row r="25" spans="1:7" s="23" customFormat="1" ht="17.25" customHeight="1">
      <c r="A25" s="17" t="s">
        <v>21</v>
      </c>
      <c r="B25" s="31" t="s">
        <v>22</v>
      </c>
      <c r="C25" s="38" t="s">
        <v>24</v>
      </c>
      <c r="D25" s="43">
        <f>30</f>
        <v>30</v>
      </c>
      <c r="E25" s="21"/>
      <c r="F25" s="24">
        <f t="shared" si="0"/>
        <v>0</v>
      </c>
      <c r="G25" s="2"/>
    </row>
    <row r="26" spans="1:7" s="23" customFormat="1" ht="17.25" customHeight="1">
      <c r="A26" s="17" t="s">
        <v>32</v>
      </c>
      <c r="B26" s="31" t="s">
        <v>33</v>
      </c>
      <c r="C26" s="38"/>
      <c r="D26" s="43"/>
      <c r="E26" s="21"/>
      <c r="F26" s="24"/>
      <c r="G26" s="2"/>
    </row>
    <row r="27" spans="1:7" s="23" customFormat="1" ht="17.25" customHeight="1">
      <c r="A27" s="18"/>
      <c r="B27" s="19" t="s">
        <v>49</v>
      </c>
      <c r="C27" s="38" t="s">
        <v>24</v>
      </c>
      <c r="D27" s="43">
        <f>(2.4+7.2)*2+4.9*2</f>
        <v>29</v>
      </c>
      <c r="E27" s="21"/>
      <c r="F27" s="24">
        <f>ROUND(D27*E27,0)</f>
        <v>0</v>
      </c>
      <c r="G27" s="2"/>
    </row>
    <row r="28" spans="1:7" s="23" customFormat="1" ht="17.25" customHeight="1">
      <c r="A28" s="18"/>
      <c r="B28" s="19" t="s">
        <v>50</v>
      </c>
      <c r="C28" s="38" t="s">
        <v>23</v>
      </c>
      <c r="D28" s="43">
        <f>4*2.1*1+2*1.35*2.1+(5.5+6.7)*2</f>
        <v>38.47</v>
      </c>
      <c r="E28" s="21"/>
      <c r="F28" s="24">
        <f>ROUND(D28*E28,0)</f>
        <v>0</v>
      </c>
      <c r="G28" s="2"/>
    </row>
    <row r="29" spans="1:7" s="23" customFormat="1" ht="17.25" customHeight="1">
      <c r="A29" s="18"/>
      <c r="B29" s="19"/>
      <c r="C29" s="38"/>
      <c r="D29" s="42"/>
      <c r="E29" s="21"/>
      <c r="F29" s="24"/>
      <c r="G29" s="2"/>
    </row>
    <row r="30" spans="1:7" s="23" customFormat="1" ht="17.25" customHeight="1">
      <c r="A30" s="25"/>
      <c r="B30" s="26"/>
      <c r="C30" s="27"/>
      <c r="D30" s="28"/>
      <c r="E30" s="29"/>
      <c r="F30" s="30"/>
      <c r="G30" s="2"/>
    </row>
    <row r="31" spans="1:7" s="22" customFormat="1" ht="20.149999999999999" customHeight="1">
      <c r="A31" s="1"/>
      <c r="B31" s="4"/>
      <c r="C31" s="3"/>
      <c r="D31" s="3"/>
      <c r="E31" s="4"/>
      <c r="F31" s="37"/>
      <c r="G31" s="2"/>
    </row>
    <row r="32" spans="1:7" s="22" customFormat="1" ht="18" customHeight="1" thickBot="1">
      <c r="A32" s="1"/>
      <c r="B32" s="47" t="s">
        <v>3</v>
      </c>
      <c r="C32" s="47"/>
      <c r="D32" s="47"/>
      <c r="E32" s="47"/>
      <c r="F32" s="37"/>
      <c r="G32" s="2"/>
    </row>
    <row r="33" spans="1:7" s="22" customFormat="1" ht="21" customHeight="1" thickBot="1">
      <c r="A33" s="40"/>
      <c r="B33" s="45" t="s">
        <v>4</v>
      </c>
      <c r="C33" s="45"/>
      <c r="D33" s="45"/>
      <c r="E33" s="46"/>
      <c r="F33" s="41">
        <f>SUM(F9:F30)</f>
        <v>0</v>
      </c>
      <c r="G33" s="2"/>
    </row>
    <row r="34" spans="1:7" s="22" customFormat="1" ht="21" customHeight="1" thickBot="1">
      <c r="A34" s="40"/>
      <c r="B34" s="45" t="s">
        <v>35</v>
      </c>
      <c r="C34" s="45"/>
      <c r="D34" s="45"/>
      <c r="E34" s="46"/>
      <c r="F34" s="41">
        <f>ROUND(F33*6%,0)</f>
        <v>0</v>
      </c>
      <c r="G34" s="2"/>
    </row>
    <row r="35" spans="1:7" s="22" customFormat="1" ht="21" customHeight="1" thickBot="1">
      <c r="A35" s="40"/>
      <c r="B35" s="45" t="s">
        <v>36</v>
      </c>
      <c r="C35" s="45"/>
      <c r="D35" s="45"/>
      <c r="E35" s="46"/>
      <c r="F35" s="41">
        <f>F33+F34</f>
        <v>0</v>
      </c>
      <c r="G35" s="2"/>
    </row>
  </sheetData>
  <mergeCells count="5">
    <mergeCell ref="B3:F3"/>
    <mergeCell ref="B32:E32"/>
    <mergeCell ref="B33:E33"/>
    <mergeCell ref="B34:E34"/>
    <mergeCell ref="B35:E35"/>
  </mergeCells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OCTOBRE 2025</oddHeader>
    <oddFooter>&amp;CDPGF - LOT 10 - PEINTURE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1F63A-0D90-48B7-BB9D-0BFB090DA7F5}">
  <sheetPr>
    <pageSetUpPr fitToPage="1"/>
  </sheetPr>
  <dimension ref="A1:G35"/>
  <sheetViews>
    <sheetView topLeftCell="A4" zoomScaleNormal="100" workbookViewId="0">
      <selection activeCell="E11" sqref="E11:E28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81640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44</v>
      </c>
      <c r="C2" s="3"/>
      <c r="D2" s="3"/>
      <c r="E2" s="8"/>
      <c r="F2" s="8"/>
      <c r="G2" s="2"/>
    </row>
    <row r="3" spans="1:7" s="22" customFormat="1" ht="28.4" customHeight="1">
      <c r="A3" s="1"/>
      <c r="B3" s="48" t="s">
        <v>38</v>
      </c>
      <c r="C3" s="48"/>
      <c r="D3" s="48"/>
      <c r="E3" s="48"/>
      <c r="F3" s="48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52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39</v>
      </c>
      <c r="C11" s="38" t="s">
        <v>23</v>
      </c>
      <c r="D11" s="43">
        <f>D18+D19+D20</f>
        <v>583.74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23</v>
      </c>
      <c r="D12" s="43">
        <f>D11</f>
        <v>583.74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26</v>
      </c>
      <c r="B13" s="19" t="s">
        <v>40</v>
      </c>
      <c r="C13" s="38" t="s">
        <v>23</v>
      </c>
      <c r="D13" s="43">
        <f>D11</f>
        <v>583.74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27</v>
      </c>
      <c r="B14" s="19" t="s">
        <v>25</v>
      </c>
      <c r="C14" s="38" t="s">
        <v>34</v>
      </c>
      <c r="D14" s="44">
        <v>1</v>
      </c>
      <c r="E14" s="21"/>
      <c r="F14" s="24">
        <f>ROUND(D14*E14,0)</f>
        <v>0</v>
      </c>
      <c r="G14" s="2"/>
    </row>
    <row r="15" spans="1:7" s="23" customFormat="1" ht="17.25" customHeight="1">
      <c r="A15" s="18" t="s">
        <v>28</v>
      </c>
      <c r="B15" s="19" t="s">
        <v>30</v>
      </c>
      <c r="C15" s="38" t="s">
        <v>34</v>
      </c>
      <c r="D15" s="44">
        <v>1</v>
      </c>
      <c r="E15" s="21"/>
      <c r="F15" s="24">
        <f t="shared" ref="F15:F25" si="0">ROUND(D15*E15,0)</f>
        <v>0</v>
      </c>
      <c r="G15" s="2"/>
    </row>
    <row r="16" spans="1:7" s="23" customFormat="1" ht="30" customHeight="1">
      <c r="A16" s="18" t="s">
        <v>29</v>
      </c>
      <c r="B16" s="19" t="s">
        <v>31</v>
      </c>
      <c r="C16" s="38" t="s">
        <v>34</v>
      </c>
      <c r="D16" s="44">
        <v>1</v>
      </c>
      <c r="E16" s="21"/>
      <c r="F16" s="24">
        <f t="shared" si="0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0"/>
        <v>0</v>
      </c>
      <c r="G17" s="2"/>
    </row>
    <row r="18" spans="1:7" s="23" customFormat="1" ht="15" customHeight="1">
      <c r="A18" s="18" t="s">
        <v>17</v>
      </c>
      <c r="B18" s="19" t="s">
        <v>37</v>
      </c>
      <c r="C18" s="38" t="s">
        <v>23</v>
      </c>
      <c r="D18" s="43">
        <f>(29.2+32)*2.8-(1.6*1.1*2+1.8*2.1*2+0.8*1.3*2+1.8*1*2+1.8*2*2+2.1*1*4+0.8*0.8*2)+(76*2.8)-(1.8*1.1*2+1.6*1.1*10+0.8*1.1*4+0.6*0.8*2)+6*2+2.1+33</f>
        <v>371.58</v>
      </c>
      <c r="E18" s="21"/>
      <c r="F18" s="24">
        <f t="shared" si="0"/>
        <v>0</v>
      </c>
      <c r="G18" s="2"/>
    </row>
    <row r="19" spans="1:7" s="23" customFormat="1" ht="40" customHeight="1">
      <c r="A19" s="18" t="s">
        <v>16</v>
      </c>
      <c r="B19" s="19" t="s">
        <v>42</v>
      </c>
      <c r="C19" s="38" t="s">
        <v>23</v>
      </c>
      <c r="D19" s="43">
        <f>5.1*4+10*0.8*2.5+0.3*4*4+9*2</f>
        <v>63.199999999999996</v>
      </c>
      <c r="E19" s="21"/>
      <c r="F19" s="24">
        <f>ROUND(D19*E19,0)</f>
        <v>0</v>
      </c>
      <c r="G19" s="2"/>
    </row>
    <row r="20" spans="1:7" s="23" customFormat="1" ht="40" customHeight="1">
      <c r="A20" s="18" t="s">
        <v>41</v>
      </c>
      <c r="B20" s="19" t="s">
        <v>43</v>
      </c>
      <c r="C20" s="38" t="s">
        <v>23</v>
      </c>
      <c r="D20" s="43">
        <f>((6*2.7)-(1.8*2.1))*2+(7*1.7*2)*2+((21*2.7)-(1.8*2.1*2+1.8*1*2))+(5.7*1.7)*2+11.6</f>
        <v>148.96</v>
      </c>
      <c r="E20" s="21"/>
      <c r="F20" s="24">
        <f>ROUND(D20*E20,0)</f>
        <v>0</v>
      </c>
      <c r="G20" s="2"/>
    </row>
    <row r="21" spans="1:7" s="23" customFormat="1" ht="17.149999999999999" customHeight="1">
      <c r="A21" s="17" t="s">
        <v>18</v>
      </c>
      <c r="B21" s="31" t="s">
        <v>19</v>
      </c>
      <c r="C21" s="38"/>
      <c r="D21" s="43"/>
      <c r="E21" s="21"/>
      <c r="F21" s="24">
        <f t="shared" si="0"/>
        <v>0</v>
      </c>
      <c r="G21" s="2"/>
    </row>
    <row r="22" spans="1:7" s="23" customFormat="1" ht="29" customHeight="1">
      <c r="A22" s="18" t="s">
        <v>20</v>
      </c>
      <c r="B22" s="19" t="s">
        <v>46</v>
      </c>
      <c r="C22" s="38" t="s">
        <v>23</v>
      </c>
      <c r="D22" s="43">
        <f>(2.1*1)*4</f>
        <v>8.4</v>
      </c>
      <c r="E22" s="21"/>
      <c r="F22" s="24">
        <f t="shared" si="0"/>
        <v>0</v>
      </c>
      <c r="G22" s="2"/>
    </row>
    <row r="23" spans="1:7" s="23" customFormat="1" ht="15" customHeight="1">
      <c r="A23" s="18" t="s">
        <v>20</v>
      </c>
      <c r="B23" s="19" t="s">
        <v>47</v>
      </c>
      <c r="C23" s="38" t="s">
        <v>24</v>
      </c>
      <c r="D23" s="43">
        <f>32.2+56+8.4*2+10.4*2+35+3*4</f>
        <v>172.8</v>
      </c>
      <c r="E23" s="21"/>
      <c r="F23" s="24">
        <f t="shared" si="0"/>
        <v>0</v>
      </c>
      <c r="G23" s="2"/>
    </row>
    <row r="24" spans="1:7" s="23" customFormat="1" ht="15" customHeight="1">
      <c r="A24" s="18" t="s">
        <v>20</v>
      </c>
      <c r="B24" s="19" t="s">
        <v>51</v>
      </c>
      <c r="C24" s="38" t="s">
        <v>23</v>
      </c>
      <c r="D24" s="43">
        <f>3*2*2</f>
        <v>12</v>
      </c>
      <c r="E24" s="21"/>
      <c r="F24" s="24">
        <f t="shared" si="0"/>
        <v>0</v>
      </c>
      <c r="G24" s="2"/>
    </row>
    <row r="25" spans="1:7" s="23" customFormat="1" ht="17.25" customHeight="1">
      <c r="A25" s="17" t="s">
        <v>21</v>
      </c>
      <c r="B25" s="31" t="s">
        <v>22</v>
      </c>
      <c r="C25" s="38" t="s">
        <v>24</v>
      </c>
      <c r="D25" s="43">
        <f>43</f>
        <v>43</v>
      </c>
      <c r="E25" s="21"/>
      <c r="F25" s="24">
        <f t="shared" si="0"/>
        <v>0</v>
      </c>
      <c r="G25" s="2"/>
    </row>
    <row r="26" spans="1:7" s="23" customFormat="1" ht="17.25" customHeight="1">
      <c r="A26" s="17" t="s">
        <v>32</v>
      </c>
      <c r="B26" s="31" t="s">
        <v>33</v>
      </c>
      <c r="C26" s="38"/>
      <c r="D26" s="43"/>
      <c r="E26" s="21"/>
      <c r="F26" s="24"/>
      <c r="G26" s="2"/>
    </row>
    <row r="27" spans="1:7" s="23" customFormat="1" ht="17.25" customHeight="1">
      <c r="A27" s="18"/>
      <c r="B27" s="19" t="s">
        <v>49</v>
      </c>
      <c r="C27" s="38" t="s">
        <v>24</v>
      </c>
      <c r="D27" s="43">
        <f>11.7*2</f>
        <v>23.4</v>
      </c>
      <c r="E27" s="21"/>
      <c r="F27" s="24">
        <f>ROUND(D27*E27,0)</f>
        <v>0</v>
      </c>
      <c r="G27" s="2"/>
    </row>
    <row r="28" spans="1:7" s="23" customFormat="1" ht="17.25" customHeight="1">
      <c r="A28" s="18"/>
      <c r="B28" s="19" t="s">
        <v>50</v>
      </c>
      <c r="C28" s="38" t="s">
        <v>23</v>
      </c>
      <c r="D28" s="43">
        <f>4.2*0.4*4+1.4*1.5*2*2+4*0.4*2+0.8*1.5*8+1*1.5*4</f>
        <v>33.92</v>
      </c>
      <c r="E28" s="21"/>
      <c r="F28" s="24">
        <f>ROUND(D28*E28,0)</f>
        <v>0</v>
      </c>
      <c r="G28" s="2"/>
    </row>
    <row r="29" spans="1:7" s="23" customFormat="1" ht="17.25" customHeight="1">
      <c r="A29" s="18"/>
      <c r="B29" s="19"/>
      <c r="C29" s="38"/>
      <c r="D29" s="42"/>
      <c r="E29" s="21"/>
      <c r="F29" s="24"/>
      <c r="G29" s="2"/>
    </row>
    <row r="30" spans="1:7" s="23" customFormat="1" ht="17.25" customHeight="1">
      <c r="A30" s="25"/>
      <c r="B30" s="26"/>
      <c r="C30" s="27"/>
      <c r="D30" s="28"/>
      <c r="E30" s="29"/>
      <c r="F30" s="30"/>
      <c r="G30" s="2"/>
    </row>
    <row r="31" spans="1:7" s="22" customFormat="1" ht="20.149999999999999" customHeight="1">
      <c r="A31" s="1"/>
      <c r="B31" s="4"/>
      <c r="C31" s="3"/>
      <c r="D31" s="3"/>
      <c r="E31" s="4"/>
      <c r="F31" s="37"/>
      <c r="G31" s="2"/>
    </row>
    <row r="32" spans="1:7" s="22" customFormat="1" ht="18" customHeight="1" thickBot="1">
      <c r="A32" s="1"/>
      <c r="B32" s="47" t="s">
        <v>3</v>
      </c>
      <c r="C32" s="47"/>
      <c r="D32" s="47"/>
      <c r="E32" s="47"/>
      <c r="F32" s="37"/>
      <c r="G32" s="2"/>
    </row>
    <row r="33" spans="1:7" s="22" customFormat="1" ht="21" customHeight="1" thickBot="1">
      <c r="A33" s="40"/>
      <c r="B33" s="45" t="s">
        <v>4</v>
      </c>
      <c r="C33" s="45"/>
      <c r="D33" s="45"/>
      <c r="E33" s="46"/>
      <c r="F33" s="41">
        <f>SUM(F9:F30)</f>
        <v>0</v>
      </c>
      <c r="G33" s="2"/>
    </row>
    <row r="34" spans="1:7" s="22" customFormat="1" ht="21" customHeight="1" thickBot="1">
      <c r="A34" s="40"/>
      <c r="B34" s="45" t="s">
        <v>35</v>
      </c>
      <c r="C34" s="45"/>
      <c r="D34" s="45"/>
      <c r="E34" s="46"/>
      <c r="F34" s="41">
        <f>ROUND(F33*6%,0)</f>
        <v>0</v>
      </c>
      <c r="G34" s="2"/>
    </row>
    <row r="35" spans="1:7" s="22" customFormat="1" ht="21" customHeight="1" thickBot="1">
      <c r="A35" s="40"/>
      <c r="B35" s="45" t="s">
        <v>36</v>
      </c>
      <c r="C35" s="45"/>
      <c r="D35" s="45"/>
      <c r="E35" s="46"/>
      <c r="F35" s="41">
        <f>F33+F34</f>
        <v>0</v>
      </c>
      <c r="G35" s="2"/>
    </row>
  </sheetData>
  <mergeCells count="5">
    <mergeCell ref="B3:F3"/>
    <mergeCell ref="B32:E32"/>
    <mergeCell ref="B33:E33"/>
    <mergeCell ref="B34:E34"/>
    <mergeCell ref="B35:E35"/>
  </mergeCells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OCTOBRE 2025</oddHeader>
    <oddFooter>&amp;CDPGF - LOT 10 - PEINTURE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140AB-93AB-405F-AE4D-36C3B32E07EA}">
  <sheetPr>
    <pageSetUpPr fitToPage="1"/>
  </sheetPr>
  <dimension ref="A1:G35"/>
  <sheetViews>
    <sheetView topLeftCell="A4" zoomScaleNormal="100" workbookViewId="0">
      <selection activeCell="E11" sqref="E11:E28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81640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44</v>
      </c>
      <c r="C2" s="3"/>
      <c r="D2" s="3"/>
      <c r="E2" s="8"/>
      <c r="F2" s="8"/>
      <c r="G2" s="2"/>
    </row>
    <row r="3" spans="1:7" s="22" customFormat="1" ht="28.4" customHeight="1">
      <c r="A3" s="1"/>
      <c r="B3" s="48" t="s">
        <v>38</v>
      </c>
      <c r="C3" s="48"/>
      <c r="D3" s="48"/>
      <c r="E3" s="48"/>
      <c r="F3" s="48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53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39</v>
      </c>
      <c r="C11" s="38" t="s">
        <v>23</v>
      </c>
      <c r="D11" s="43">
        <f>D18+D19+D20</f>
        <v>421.47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23</v>
      </c>
      <c r="D12" s="43">
        <f>D11</f>
        <v>421.47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26</v>
      </c>
      <c r="B13" s="19" t="s">
        <v>40</v>
      </c>
      <c r="C13" s="38" t="s">
        <v>23</v>
      </c>
      <c r="D13" s="43">
        <f>D11</f>
        <v>421.47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27</v>
      </c>
      <c r="B14" s="19" t="s">
        <v>25</v>
      </c>
      <c r="C14" s="38" t="s">
        <v>34</v>
      </c>
      <c r="D14" s="44">
        <v>1</v>
      </c>
      <c r="E14" s="21"/>
      <c r="F14" s="24">
        <f>ROUND(D14*E14,0)</f>
        <v>0</v>
      </c>
      <c r="G14" s="2"/>
    </row>
    <row r="15" spans="1:7" s="23" customFormat="1" ht="17.25" customHeight="1">
      <c r="A15" s="18" t="s">
        <v>28</v>
      </c>
      <c r="B15" s="19" t="s">
        <v>30</v>
      </c>
      <c r="C15" s="38" t="s">
        <v>34</v>
      </c>
      <c r="D15" s="44">
        <v>1</v>
      </c>
      <c r="E15" s="21"/>
      <c r="F15" s="24">
        <f t="shared" ref="F15:F25" si="0">ROUND(D15*E15,0)</f>
        <v>0</v>
      </c>
      <c r="G15" s="2"/>
    </row>
    <row r="16" spans="1:7" s="23" customFormat="1" ht="30" customHeight="1">
      <c r="A16" s="18" t="s">
        <v>29</v>
      </c>
      <c r="B16" s="19" t="s">
        <v>31</v>
      </c>
      <c r="C16" s="38" t="s">
        <v>34</v>
      </c>
      <c r="D16" s="44">
        <v>1</v>
      </c>
      <c r="E16" s="21"/>
      <c r="F16" s="24">
        <f t="shared" si="0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0"/>
        <v>0</v>
      </c>
      <c r="G17" s="2"/>
    </row>
    <row r="18" spans="1:7" s="23" customFormat="1" ht="15" customHeight="1">
      <c r="A18" s="18" t="s">
        <v>17</v>
      </c>
      <c r="B18" s="19" t="s">
        <v>37</v>
      </c>
      <c r="C18" s="38" t="s">
        <v>23</v>
      </c>
      <c r="D18" s="43">
        <f>(5.2+6.4+36)*2.8-(0.8*0.8*3+1.8*1.1+1.8*1*2+1.8*2*3+2.1*1*2+0.6*0.8)+(67.8*2.8)-(1.6*1.1*7+1.8*1.1+0.8*1.1*4+0.6*0.8*2)+17+23.3</f>
        <v>321.65999999999997</v>
      </c>
      <c r="E18" s="21"/>
      <c r="F18" s="24">
        <f t="shared" si="0"/>
        <v>0</v>
      </c>
      <c r="G18" s="2"/>
    </row>
    <row r="19" spans="1:7" s="23" customFormat="1" ht="40" customHeight="1">
      <c r="A19" s="18" t="s">
        <v>16</v>
      </c>
      <c r="B19" s="19" t="s">
        <v>42</v>
      </c>
      <c r="C19" s="38" t="s">
        <v>23</v>
      </c>
      <c r="D19" s="43">
        <f>47.2*0.3</f>
        <v>14.16</v>
      </c>
      <c r="E19" s="21"/>
      <c r="F19" s="24">
        <f>ROUND(D19*E19,0)</f>
        <v>0</v>
      </c>
      <c r="G19" s="2"/>
    </row>
    <row r="20" spans="1:7" s="23" customFormat="1" ht="40" customHeight="1">
      <c r="A20" s="18" t="s">
        <v>41</v>
      </c>
      <c r="B20" s="19" t="s">
        <v>43</v>
      </c>
      <c r="C20" s="38" t="s">
        <v>23</v>
      </c>
      <c r="D20" s="43">
        <f>(11*2.7+9*0.8*2.7+10.7*2.7+5.8*2.7)-(1.8*2.1*3+1.8*1+2.1*1)+7.2</f>
        <v>85.65</v>
      </c>
      <c r="E20" s="21"/>
      <c r="F20" s="24">
        <f>ROUND(D20*E20,0)</f>
        <v>0</v>
      </c>
      <c r="G20" s="2"/>
    </row>
    <row r="21" spans="1:7" s="23" customFormat="1" ht="17.149999999999999" customHeight="1">
      <c r="A21" s="17" t="s">
        <v>18</v>
      </c>
      <c r="B21" s="31" t="s">
        <v>19</v>
      </c>
      <c r="C21" s="38"/>
      <c r="D21" s="43"/>
      <c r="E21" s="21"/>
      <c r="F21" s="24">
        <f t="shared" si="0"/>
        <v>0</v>
      </c>
      <c r="G21" s="2"/>
    </row>
    <row r="22" spans="1:7" s="23" customFormat="1" ht="29" customHeight="1">
      <c r="A22" s="18" t="s">
        <v>20</v>
      </c>
      <c r="B22" s="19" t="s">
        <v>46</v>
      </c>
      <c r="C22" s="38" t="s">
        <v>23</v>
      </c>
      <c r="D22" s="43">
        <f>3*2.1</f>
        <v>6.3000000000000007</v>
      </c>
      <c r="E22" s="21"/>
      <c r="F22" s="24">
        <f t="shared" si="0"/>
        <v>0</v>
      </c>
      <c r="G22" s="2"/>
    </row>
    <row r="23" spans="1:7" s="23" customFormat="1" ht="15" customHeight="1">
      <c r="A23" s="18" t="s">
        <v>20</v>
      </c>
      <c r="B23" s="19" t="s">
        <v>47</v>
      </c>
      <c r="C23" s="38" t="s">
        <v>24</v>
      </c>
      <c r="D23" s="43">
        <f>(10.3*2+52+29+4.8*2+3*1.8+14+6.3*2)</f>
        <v>143.19999999999999</v>
      </c>
      <c r="E23" s="21"/>
      <c r="F23" s="24">
        <f t="shared" si="0"/>
        <v>0</v>
      </c>
      <c r="G23" s="2"/>
    </row>
    <row r="24" spans="1:7" s="23" customFormat="1" ht="15" customHeight="1">
      <c r="A24" s="18" t="s">
        <v>20</v>
      </c>
      <c r="B24" s="19" t="s">
        <v>51</v>
      </c>
      <c r="C24" s="38" t="s">
        <v>23</v>
      </c>
      <c r="D24" s="43">
        <f>3*2</f>
        <v>6</v>
      </c>
      <c r="E24" s="21"/>
      <c r="F24" s="24">
        <f t="shared" si="0"/>
        <v>0</v>
      </c>
      <c r="G24" s="2"/>
    </row>
    <row r="25" spans="1:7" s="23" customFormat="1" ht="17.25" customHeight="1">
      <c r="A25" s="17" t="s">
        <v>21</v>
      </c>
      <c r="B25" s="31" t="s">
        <v>22</v>
      </c>
      <c r="C25" s="38" t="s">
        <v>24</v>
      </c>
      <c r="D25" s="43">
        <v>32</v>
      </c>
      <c r="E25" s="21"/>
      <c r="F25" s="24">
        <f t="shared" si="0"/>
        <v>0</v>
      </c>
      <c r="G25" s="2"/>
    </row>
    <row r="26" spans="1:7" s="23" customFormat="1" ht="17.25" customHeight="1">
      <c r="A26" s="17" t="s">
        <v>32</v>
      </c>
      <c r="B26" s="31" t="s">
        <v>33</v>
      </c>
      <c r="C26" s="38"/>
      <c r="D26" s="43"/>
      <c r="E26" s="21"/>
      <c r="F26" s="24"/>
      <c r="G26" s="2"/>
    </row>
    <row r="27" spans="1:7" s="23" customFormat="1" ht="17.25" customHeight="1">
      <c r="A27" s="18"/>
      <c r="B27" s="19" t="s">
        <v>49</v>
      </c>
      <c r="C27" s="38" t="s">
        <v>24</v>
      </c>
      <c r="D27" s="43"/>
      <c r="E27" s="21"/>
      <c r="F27" s="24">
        <f>ROUND(D27*E27,0)</f>
        <v>0</v>
      </c>
      <c r="G27" s="2"/>
    </row>
    <row r="28" spans="1:7" s="23" customFormat="1" ht="17.25" customHeight="1">
      <c r="A28" s="18"/>
      <c r="B28" s="19" t="s">
        <v>50</v>
      </c>
      <c r="C28" s="38" t="s">
        <v>23</v>
      </c>
      <c r="D28" s="43">
        <f>1.2*2.1*2*2+1.35*2.1*2*2</f>
        <v>21.42</v>
      </c>
      <c r="E28" s="21"/>
      <c r="F28" s="24">
        <f>ROUND(D28*E28,0)</f>
        <v>0</v>
      </c>
      <c r="G28" s="2"/>
    </row>
    <row r="29" spans="1:7" s="23" customFormat="1" ht="17.25" customHeight="1">
      <c r="A29" s="18"/>
      <c r="B29" s="19"/>
      <c r="C29" s="38"/>
      <c r="D29" s="42"/>
      <c r="E29" s="21"/>
      <c r="F29" s="24"/>
      <c r="G29" s="2"/>
    </row>
    <row r="30" spans="1:7" s="23" customFormat="1" ht="17.25" customHeight="1">
      <c r="A30" s="25"/>
      <c r="B30" s="26"/>
      <c r="C30" s="27"/>
      <c r="D30" s="28"/>
      <c r="E30" s="29"/>
      <c r="F30" s="30"/>
      <c r="G30" s="2"/>
    </row>
    <row r="31" spans="1:7" s="22" customFormat="1" ht="20.149999999999999" customHeight="1">
      <c r="A31" s="1"/>
      <c r="B31" s="4"/>
      <c r="C31" s="3"/>
      <c r="D31" s="3"/>
      <c r="E31" s="4"/>
      <c r="F31" s="37"/>
      <c r="G31" s="2"/>
    </row>
    <row r="32" spans="1:7" s="22" customFormat="1" ht="18" customHeight="1" thickBot="1">
      <c r="A32" s="1"/>
      <c r="B32" s="47" t="s">
        <v>3</v>
      </c>
      <c r="C32" s="47"/>
      <c r="D32" s="47"/>
      <c r="E32" s="47"/>
      <c r="F32" s="37"/>
      <c r="G32" s="2"/>
    </row>
    <row r="33" spans="1:7" s="22" customFormat="1" ht="21" customHeight="1" thickBot="1">
      <c r="A33" s="40"/>
      <c r="B33" s="45" t="s">
        <v>4</v>
      </c>
      <c r="C33" s="45"/>
      <c r="D33" s="45"/>
      <c r="E33" s="46"/>
      <c r="F33" s="41">
        <f>SUM(F9:F30)</f>
        <v>0</v>
      </c>
      <c r="G33" s="2"/>
    </row>
    <row r="34" spans="1:7" s="22" customFormat="1" ht="21" customHeight="1" thickBot="1">
      <c r="A34" s="40"/>
      <c r="B34" s="45" t="s">
        <v>35</v>
      </c>
      <c r="C34" s="45"/>
      <c r="D34" s="45"/>
      <c r="E34" s="46"/>
      <c r="F34" s="41">
        <f>ROUND(F33*6%,0)</f>
        <v>0</v>
      </c>
      <c r="G34" s="2"/>
    </row>
    <row r="35" spans="1:7" s="22" customFormat="1" ht="21" customHeight="1" thickBot="1">
      <c r="A35" s="40"/>
      <c r="B35" s="45" t="s">
        <v>36</v>
      </c>
      <c r="C35" s="45"/>
      <c r="D35" s="45"/>
      <c r="E35" s="46"/>
      <c r="F35" s="41">
        <f>F33+F34</f>
        <v>0</v>
      </c>
      <c r="G35" s="2"/>
    </row>
  </sheetData>
  <mergeCells count="5">
    <mergeCell ref="B3:F3"/>
    <mergeCell ref="B32:E32"/>
    <mergeCell ref="B33:E33"/>
    <mergeCell ref="B34:E34"/>
    <mergeCell ref="B35:E35"/>
  </mergeCells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OCTOBRE 2025</oddHeader>
    <oddFooter>&amp;CDPGF - LOT 10 - PEINTURE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53422-CCF5-48A5-90B5-88C5D03104A5}">
  <sheetPr>
    <pageSetUpPr fitToPage="1"/>
  </sheetPr>
  <dimension ref="A1:G35"/>
  <sheetViews>
    <sheetView topLeftCell="A4" zoomScaleNormal="100" workbookViewId="0">
      <selection activeCell="E11" sqref="E11:E28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81640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44</v>
      </c>
      <c r="C2" s="3"/>
      <c r="D2" s="3"/>
      <c r="E2" s="8"/>
      <c r="F2" s="8"/>
      <c r="G2" s="2"/>
    </row>
    <row r="3" spans="1:7" s="22" customFormat="1" ht="28.4" customHeight="1">
      <c r="A3" s="1"/>
      <c r="B3" s="48" t="s">
        <v>38</v>
      </c>
      <c r="C3" s="48"/>
      <c r="D3" s="48"/>
      <c r="E3" s="48"/>
      <c r="F3" s="48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54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39</v>
      </c>
      <c r="C11" s="38" t="s">
        <v>23</v>
      </c>
      <c r="D11" s="43">
        <f>D18+D19+D20</f>
        <v>572.91999999999996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23</v>
      </c>
      <c r="D12" s="43">
        <f>D11</f>
        <v>572.91999999999996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26</v>
      </c>
      <c r="B13" s="19" t="s">
        <v>40</v>
      </c>
      <c r="C13" s="38" t="s">
        <v>23</v>
      </c>
      <c r="D13" s="43">
        <f>D11</f>
        <v>572.91999999999996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27</v>
      </c>
      <c r="B14" s="19" t="s">
        <v>25</v>
      </c>
      <c r="C14" s="38" t="s">
        <v>34</v>
      </c>
      <c r="D14" s="44">
        <v>1</v>
      </c>
      <c r="E14" s="21"/>
      <c r="F14" s="24">
        <f>ROUND(D14*E14,0)</f>
        <v>0</v>
      </c>
      <c r="G14" s="2"/>
    </row>
    <row r="15" spans="1:7" s="23" customFormat="1" ht="17.25" customHeight="1">
      <c r="A15" s="18" t="s">
        <v>28</v>
      </c>
      <c r="B15" s="19" t="s">
        <v>30</v>
      </c>
      <c r="C15" s="38" t="s">
        <v>34</v>
      </c>
      <c r="D15" s="44">
        <v>1</v>
      </c>
      <c r="E15" s="21"/>
      <c r="F15" s="24">
        <f t="shared" ref="F15:F25" si="0">ROUND(D15*E15,0)</f>
        <v>0</v>
      </c>
      <c r="G15" s="2"/>
    </row>
    <row r="16" spans="1:7" s="23" customFormat="1" ht="30" customHeight="1">
      <c r="A16" s="18" t="s">
        <v>29</v>
      </c>
      <c r="B16" s="19" t="s">
        <v>31</v>
      </c>
      <c r="C16" s="38" t="s">
        <v>34</v>
      </c>
      <c r="D16" s="44">
        <v>1</v>
      </c>
      <c r="E16" s="21"/>
      <c r="F16" s="24">
        <f t="shared" si="0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0"/>
        <v>0</v>
      </c>
      <c r="G17" s="2"/>
    </row>
    <row r="18" spans="1:7" s="23" customFormat="1" ht="15" customHeight="1">
      <c r="A18" s="18" t="s">
        <v>17</v>
      </c>
      <c r="B18" s="19" t="s">
        <v>37</v>
      </c>
      <c r="C18" s="38" t="s">
        <v>23</v>
      </c>
      <c r="D18" s="43">
        <f>(18.2+38.6)*2.8-(1.8*1*2+0.6*0.8+2.1*1*3+0.8*0.8*3+1.8*2*3+1.6*1.1*2)+(62*2.8)-(1.6*1.1*7+1.8*1.1*2+0.6*0.8*2+0.8*1.1*3)+23+8.1</f>
        <v>317.24</v>
      </c>
      <c r="E18" s="21"/>
      <c r="F18" s="24">
        <f t="shared" si="0"/>
        <v>0</v>
      </c>
      <c r="G18" s="2"/>
    </row>
    <row r="19" spans="1:7" s="23" customFormat="1" ht="40" customHeight="1">
      <c r="A19" s="18" t="s">
        <v>16</v>
      </c>
      <c r="B19" s="19" t="s">
        <v>42</v>
      </c>
      <c r="C19" s="38" t="s">
        <v>23</v>
      </c>
      <c r="D19" s="43">
        <f>11.5+17.5*4+24*0.8*2.3+1.2*3</f>
        <v>129.26</v>
      </c>
      <c r="E19" s="21"/>
      <c r="F19" s="24">
        <f>ROUND(D19*E19,0)</f>
        <v>0</v>
      </c>
      <c r="G19" s="2"/>
    </row>
    <row r="20" spans="1:7" s="23" customFormat="1" ht="40" customHeight="1">
      <c r="A20" s="18" t="s">
        <v>41</v>
      </c>
      <c r="B20" s="19" t="s">
        <v>43</v>
      </c>
      <c r="C20" s="38" t="s">
        <v>23</v>
      </c>
      <c r="D20" s="43">
        <f>7.2*1.9+6.8*1.9+11.1*1.9+7*2.7-1.8*2.1+11.1*2.7-1.8*2.1+1.8*1+8*2.7-1.8*2.1+7*0.8*2+6.6</f>
        <v>126.42</v>
      </c>
      <c r="E20" s="21"/>
      <c r="F20" s="24">
        <f>ROUND(D20*E20,0)</f>
        <v>0</v>
      </c>
      <c r="G20" s="2"/>
    </row>
    <row r="21" spans="1:7" s="23" customFormat="1" ht="17.149999999999999" customHeight="1">
      <c r="A21" s="17" t="s">
        <v>18</v>
      </c>
      <c r="B21" s="31" t="s">
        <v>19</v>
      </c>
      <c r="C21" s="38"/>
      <c r="D21" s="43"/>
      <c r="E21" s="21"/>
      <c r="F21" s="24">
        <f t="shared" si="0"/>
        <v>0</v>
      </c>
      <c r="G21" s="2"/>
    </row>
    <row r="22" spans="1:7" s="23" customFormat="1" ht="29" customHeight="1">
      <c r="A22" s="18" t="s">
        <v>20</v>
      </c>
      <c r="B22" s="19" t="s">
        <v>46</v>
      </c>
      <c r="C22" s="38" t="s">
        <v>23</v>
      </c>
      <c r="D22" s="43">
        <f>3*2.1</f>
        <v>6.3000000000000007</v>
      </c>
      <c r="E22" s="21"/>
      <c r="F22" s="24">
        <f t="shared" si="0"/>
        <v>0</v>
      </c>
      <c r="G22" s="2"/>
    </row>
    <row r="23" spans="1:7" s="23" customFormat="1" ht="15" customHeight="1">
      <c r="A23" s="18" t="s">
        <v>20</v>
      </c>
      <c r="B23" s="19" t="s">
        <v>47</v>
      </c>
      <c r="C23" s="38" t="s">
        <v>24</v>
      </c>
      <c r="D23" s="43">
        <f>28.6+37.3+4.5+8.5+2*10</f>
        <v>98.9</v>
      </c>
      <c r="E23" s="21"/>
      <c r="F23" s="24">
        <f t="shared" si="0"/>
        <v>0</v>
      </c>
      <c r="G23" s="2"/>
    </row>
    <row r="24" spans="1:7" s="23" customFormat="1" ht="15" customHeight="1">
      <c r="A24" s="18" t="s">
        <v>20</v>
      </c>
      <c r="B24" s="19" t="s">
        <v>51</v>
      </c>
      <c r="C24" s="38" t="s">
        <v>23</v>
      </c>
      <c r="D24" s="43">
        <f>3*2</f>
        <v>6</v>
      </c>
      <c r="E24" s="21"/>
      <c r="F24" s="24">
        <f t="shared" si="0"/>
        <v>0</v>
      </c>
      <c r="G24" s="2"/>
    </row>
    <row r="25" spans="1:7" s="23" customFormat="1" ht="17.25" customHeight="1">
      <c r="A25" s="17" t="s">
        <v>21</v>
      </c>
      <c r="B25" s="31" t="s">
        <v>22</v>
      </c>
      <c r="C25" s="38" t="s">
        <v>24</v>
      </c>
      <c r="D25" s="43">
        <v>58</v>
      </c>
      <c r="E25" s="21"/>
      <c r="F25" s="24">
        <f t="shared" si="0"/>
        <v>0</v>
      </c>
      <c r="G25" s="2"/>
    </row>
    <row r="26" spans="1:7" s="23" customFormat="1" ht="17.25" customHeight="1">
      <c r="A26" s="17" t="s">
        <v>32</v>
      </c>
      <c r="B26" s="31" t="s">
        <v>33</v>
      </c>
      <c r="C26" s="38"/>
      <c r="D26" s="43"/>
      <c r="E26" s="21"/>
      <c r="F26" s="24"/>
      <c r="G26" s="2"/>
    </row>
    <row r="27" spans="1:7" s="23" customFormat="1" ht="17.25" customHeight="1">
      <c r="A27" s="18"/>
      <c r="B27" s="19" t="s">
        <v>49</v>
      </c>
      <c r="C27" s="38" t="s">
        <v>24</v>
      </c>
      <c r="D27" s="43">
        <f>6.8</f>
        <v>6.8</v>
      </c>
      <c r="E27" s="21"/>
      <c r="F27" s="24">
        <f>ROUND(D27*E27,0)</f>
        <v>0</v>
      </c>
      <c r="G27" s="2"/>
    </row>
    <row r="28" spans="1:7" s="23" customFormat="1" ht="17.25" customHeight="1">
      <c r="A28" s="18"/>
      <c r="B28" s="19" t="s">
        <v>50</v>
      </c>
      <c r="C28" s="38" t="s">
        <v>23</v>
      </c>
      <c r="D28" s="43">
        <f>1*1.5*2*3+1.4*1.5*2</f>
        <v>13.2</v>
      </c>
      <c r="E28" s="21"/>
      <c r="F28" s="24">
        <f>ROUND(D28*E28,0)</f>
        <v>0</v>
      </c>
      <c r="G28" s="2"/>
    </row>
    <row r="29" spans="1:7" s="23" customFormat="1" ht="17.25" customHeight="1">
      <c r="A29" s="18"/>
      <c r="B29" s="19"/>
      <c r="C29" s="38"/>
      <c r="D29" s="42"/>
      <c r="E29" s="21"/>
      <c r="F29" s="24"/>
      <c r="G29" s="2"/>
    </row>
    <row r="30" spans="1:7" s="23" customFormat="1" ht="17.25" customHeight="1">
      <c r="A30" s="25"/>
      <c r="B30" s="26"/>
      <c r="C30" s="27"/>
      <c r="D30" s="28"/>
      <c r="E30" s="29"/>
      <c r="F30" s="30"/>
      <c r="G30" s="2"/>
    </row>
    <row r="31" spans="1:7" s="22" customFormat="1" ht="20.149999999999999" customHeight="1">
      <c r="A31" s="1"/>
      <c r="B31" s="4"/>
      <c r="C31" s="3"/>
      <c r="D31" s="3"/>
      <c r="E31" s="4"/>
      <c r="F31" s="37"/>
      <c r="G31" s="2"/>
    </row>
    <row r="32" spans="1:7" s="22" customFormat="1" ht="18" customHeight="1" thickBot="1">
      <c r="A32" s="1"/>
      <c r="B32" s="47" t="s">
        <v>3</v>
      </c>
      <c r="C32" s="47"/>
      <c r="D32" s="47"/>
      <c r="E32" s="47"/>
      <c r="F32" s="37"/>
      <c r="G32" s="2"/>
    </row>
    <row r="33" spans="1:7" s="22" customFormat="1" ht="21" customHeight="1" thickBot="1">
      <c r="A33" s="40"/>
      <c r="B33" s="45" t="s">
        <v>4</v>
      </c>
      <c r="C33" s="45"/>
      <c r="D33" s="45"/>
      <c r="E33" s="46"/>
      <c r="F33" s="41">
        <f>SUM(F9:F30)</f>
        <v>0</v>
      </c>
      <c r="G33" s="2"/>
    </row>
    <row r="34" spans="1:7" s="22" customFormat="1" ht="21" customHeight="1" thickBot="1">
      <c r="A34" s="40"/>
      <c r="B34" s="45" t="s">
        <v>35</v>
      </c>
      <c r="C34" s="45"/>
      <c r="D34" s="45"/>
      <c r="E34" s="46"/>
      <c r="F34" s="41">
        <f>ROUND(F33*6%,0)</f>
        <v>0</v>
      </c>
      <c r="G34" s="2"/>
    </row>
    <row r="35" spans="1:7" s="22" customFormat="1" ht="21" customHeight="1" thickBot="1">
      <c r="A35" s="40"/>
      <c r="B35" s="45" t="s">
        <v>36</v>
      </c>
      <c r="C35" s="45"/>
      <c r="D35" s="45"/>
      <c r="E35" s="46"/>
      <c r="F35" s="41">
        <f>F33+F34</f>
        <v>0</v>
      </c>
      <c r="G35" s="2"/>
    </row>
  </sheetData>
  <mergeCells count="5">
    <mergeCell ref="B3:F3"/>
    <mergeCell ref="B32:E32"/>
    <mergeCell ref="B33:E33"/>
    <mergeCell ref="B34:E34"/>
    <mergeCell ref="B35:E35"/>
  </mergeCells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OCTOBRE 2025</oddHeader>
    <oddFooter>&amp;CDPGF - LOT 10 - PEINTURE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89D7D-7272-4E96-9C40-F26D2D7E0132}">
  <sheetPr>
    <pageSetUpPr fitToPage="1"/>
  </sheetPr>
  <dimension ref="A1:G35"/>
  <sheetViews>
    <sheetView topLeftCell="A7" zoomScaleNormal="100" workbookViewId="0">
      <selection activeCell="E11" sqref="E11:E28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81640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44</v>
      </c>
      <c r="C2" s="3"/>
      <c r="D2" s="3"/>
      <c r="E2" s="8"/>
      <c r="F2" s="8"/>
      <c r="G2" s="2"/>
    </row>
    <row r="3" spans="1:7" s="22" customFormat="1" ht="28.4" customHeight="1">
      <c r="A3" s="1"/>
      <c r="B3" s="48" t="s">
        <v>38</v>
      </c>
      <c r="C3" s="48"/>
      <c r="D3" s="48"/>
      <c r="E3" s="48"/>
      <c r="F3" s="48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55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39</v>
      </c>
      <c r="C11" s="38" t="s">
        <v>23</v>
      </c>
      <c r="D11" s="43">
        <f>D18+D19+D20</f>
        <v>978.98999999999978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23</v>
      </c>
      <c r="D12" s="43">
        <f>D11</f>
        <v>978.98999999999978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26</v>
      </c>
      <c r="B13" s="19" t="s">
        <v>40</v>
      </c>
      <c r="C13" s="38" t="s">
        <v>23</v>
      </c>
      <c r="D13" s="43">
        <f>D11</f>
        <v>978.98999999999978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27</v>
      </c>
      <c r="B14" s="19" t="s">
        <v>25</v>
      </c>
      <c r="C14" s="38" t="s">
        <v>34</v>
      </c>
      <c r="D14" s="44">
        <v>2</v>
      </c>
      <c r="E14" s="21"/>
      <c r="F14" s="24">
        <f>ROUND(D14*E14,0)</f>
        <v>0</v>
      </c>
      <c r="G14" s="2"/>
    </row>
    <row r="15" spans="1:7" s="23" customFormat="1" ht="17.25" customHeight="1">
      <c r="A15" s="18" t="s">
        <v>28</v>
      </c>
      <c r="B15" s="19" t="s">
        <v>30</v>
      </c>
      <c r="C15" s="38" t="s">
        <v>34</v>
      </c>
      <c r="D15" s="44">
        <v>2</v>
      </c>
      <c r="E15" s="21"/>
      <c r="F15" s="24">
        <f t="shared" ref="F15:F25" si="0">ROUND(D15*E15,0)</f>
        <v>0</v>
      </c>
      <c r="G15" s="2"/>
    </row>
    <row r="16" spans="1:7" s="23" customFormat="1" ht="30" customHeight="1">
      <c r="A16" s="18" t="s">
        <v>29</v>
      </c>
      <c r="B16" s="19" t="s">
        <v>31</v>
      </c>
      <c r="C16" s="38" t="s">
        <v>34</v>
      </c>
      <c r="D16" s="44">
        <v>2</v>
      </c>
      <c r="E16" s="21"/>
      <c r="F16" s="24">
        <f t="shared" si="0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0"/>
        <v>0</v>
      </c>
      <c r="G17" s="2"/>
    </row>
    <row r="18" spans="1:7" s="23" customFormat="1" ht="15" customHeight="1">
      <c r="A18" s="18" t="s">
        <v>17</v>
      </c>
      <c r="B18" s="19" t="s">
        <v>37</v>
      </c>
      <c r="C18" s="38" t="s">
        <v>23</v>
      </c>
      <c r="D18" s="43">
        <f>(24.5+24.7+24.7+25.3)*2.8-(1.8*1*2+0.9*1+0.8*1.1+0.9*2*11+0.8*0.8*6+0.8*0.6+2.1*1*6+1.6*1.1*2)+(27.5+40.2*2+27.6)*2.7-(1.6*1.1*16+1.8*1.1*2+0.8*1.1*6+0.8*0.8*2)+26.4+35.5</f>
        <v>621.20999999999992</v>
      </c>
      <c r="E18" s="21"/>
      <c r="F18" s="24">
        <f t="shared" si="0"/>
        <v>0</v>
      </c>
      <c r="G18" s="2"/>
    </row>
    <row r="19" spans="1:7" s="23" customFormat="1" ht="40" customHeight="1">
      <c r="A19" s="18" t="s">
        <v>16</v>
      </c>
      <c r="B19" s="19" t="s">
        <v>42</v>
      </c>
      <c r="C19" s="38" t="s">
        <v>23</v>
      </c>
      <c r="D19" s="43">
        <f>48*0.3+27+11*0.8*2.5+4.3*0.3*6+14.8</f>
        <v>85.94</v>
      </c>
      <c r="E19" s="21"/>
      <c r="F19" s="24">
        <f>ROUND(D19*E19,0)</f>
        <v>0</v>
      </c>
      <c r="G19" s="2"/>
    </row>
    <row r="20" spans="1:7" s="23" customFormat="1" ht="40" customHeight="1">
      <c r="A20" s="18" t="s">
        <v>41</v>
      </c>
      <c r="B20" s="19" t="s">
        <v>43</v>
      </c>
      <c r="C20" s="38" t="s">
        <v>23</v>
      </c>
      <c r="D20" s="43">
        <f>7.5*2.7-1.8*2.1+4.8*0.8+(20*2.7-1.8*2.1*2+1.8*1*2+8.7*1.9*2)*2+6.3*2.7-1.8*2.1+9.4*1.9+1.4*0.8*2+14*0.8*2.5+12*2</f>
        <v>271.83999999999997</v>
      </c>
      <c r="E20" s="21"/>
      <c r="F20" s="24">
        <f>ROUND(D20*E20,0)</f>
        <v>0</v>
      </c>
      <c r="G20" s="2"/>
    </row>
    <row r="21" spans="1:7" s="23" customFormat="1" ht="17.149999999999999" customHeight="1">
      <c r="A21" s="17" t="s">
        <v>18</v>
      </c>
      <c r="B21" s="31" t="s">
        <v>19</v>
      </c>
      <c r="C21" s="38"/>
      <c r="D21" s="43"/>
      <c r="E21" s="21"/>
      <c r="F21" s="24">
        <f t="shared" si="0"/>
        <v>0</v>
      </c>
      <c r="G21" s="2"/>
    </row>
    <row r="22" spans="1:7" s="23" customFormat="1" ht="29" customHeight="1">
      <c r="A22" s="18" t="s">
        <v>20</v>
      </c>
      <c r="B22" s="19" t="s">
        <v>46</v>
      </c>
      <c r="C22" s="38" t="s">
        <v>23</v>
      </c>
      <c r="D22" s="43">
        <f>2.1*1*6</f>
        <v>12.600000000000001</v>
      </c>
      <c r="E22" s="21"/>
      <c r="F22" s="24">
        <f t="shared" si="0"/>
        <v>0</v>
      </c>
      <c r="G22" s="2"/>
    </row>
    <row r="23" spans="1:7" s="23" customFormat="1" ht="15" customHeight="1">
      <c r="A23" s="18" t="s">
        <v>20</v>
      </c>
      <c r="B23" s="19" t="s">
        <v>47</v>
      </c>
      <c r="C23" s="38" t="s">
        <v>24</v>
      </c>
      <c r="D23" s="43">
        <f>(27.5+40.2*2+27.6)+5.2*2+6.9*2*4+5.2*2+5.7*2+2.4*1.5*2+1.5*5+1.5*5</f>
        <v>245.10000000000002</v>
      </c>
      <c r="E23" s="21"/>
      <c r="F23" s="24">
        <f t="shared" si="0"/>
        <v>0</v>
      </c>
      <c r="G23" s="2"/>
    </row>
    <row r="24" spans="1:7" s="23" customFormat="1" ht="15" customHeight="1">
      <c r="A24" s="18" t="s">
        <v>20</v>
      </c>
      <c r="B24" s="19" t="s">
        <v>51</v>
      </c>
      <c r="C24" s="38" t="s">
        <v>23</v>
      </c>
      <c r="D24" s="43"/>
      <c r="E24" s="21"/>
      <c r="F24" s="24">
        <f t="shared" si="0"/>
        <v>0</v>
      </c>
      <c r="G24" s="2"/>
    </row>
    <row r="25" spans="1:7" s="23" customFormat="1" ht="17.25" customHeight="1">
      <c r="A25" s="17" t="s">
        <v>21</v>
      </c>
      <c r="B25" s="31" t="s">
        <v>22</v>
      </c>
      <c r="C25" s="38" t="s">
        <v>24</v>
      </c>
      <c r="D25" s="43">
        <f>66</f>
        <v>66</v>
      </c>
      <c r="E25" s="21"/>
      <c r="F25" s="24">
        <f t="shared" si="0"/>
        <v>0</v>
      </c>
      <c r="G25" s="2"/>
    </row>
    <row r="26" spans="1:7" s="23" customFormat="1" ht="17.25" customHeight="1">
      <c r="A26" s="17" t="s">
        <v>32</v>
      </c>
      <c r="B26" s="31" t="s">
        <v>33</v>
      </c>
      <c r="C26" s="38"/>
      <c r="D26" s="43"/>
      <c r="E26" s="21"/>
      <c r="F26" s="24"/>
      <c r="G26" s="2"/>
    </row>
    <row r="27" spans="1:7" s="23" customFormat="1" ht="17.25" customHeight="1">
      <c r="A27" s="18"/>
      <c r="B27" s="19" t="s">
        <v>49</v>
      </c>
      <c r="C27" s="38" t="s">
        <v>24</v>
      </c>
      <c r="D27" s="43"/>
      <c r="E27" s="21"/>
      <c r="F27" s="24">
        <f>ROUND(D27*E27,0)</f>
        <v>0</v>
      </c>
      <c r="G27" s="2"/>
    </row>
    <row r="28" spans="1:7" s="23" customFormat="1" ht="17.25" customHeight="1">
      <c r="A28" s="18"/>
      <c r="B28" s="19" t="s">
        <v>50</v>
      </c>
      <c r="C28" s="38" t="s">
        <v>23</v>
      </c>
      <c r="D28" s="43">
        <f>4*2*6+1.1*1.5*2*2+1.7*1.5*2*4+1.4*1.5*2*4+1*1.5*2+1.1*1.5*2+(8.2+5.3*4)*0.3*2</f>
        <v>115.74</v>
      </c>
      <c r="E28" s="21"/>
      <c r="F28" s="24">
        <f>ROUND(D28*E28,0)</f>
        <v>0</v>
      </c>
      <c r="G28" s="2"/>
    </row>
    <row r="29" spans="1:7" s="23" customFormat="1" ht="17.25" customHeight="1">
      <c r="A29" s="18"/>
      <c r="B29" s="19"/>
      <c r="C29" s="38"/>
      <c r="D29" s="42"/>
      <c r="E29" s="21"/>
      <c r="F29" s="24"/>
      <c r="G29" s="2"/>
    </row>
    <row r="30" spans="1:7" s="23" customFormat="1" ht="17.25" customHeight="1">
      <c r="A30" s="25"/>
      <c r="B30" s="26"/>
      <c r="C30" s="27"/>
      <c r="D30" s="28"/>
      <c r="E30" s="29"/>
      <c r="F30" s="30"/>
      <c r="G30" s="2"/>
    </row>
    <row r="31" spans="1:7" s="22" customFormat="1" ht="20.149999999999999" customHeight="1">
      <c r="A31" s="1"/>
      <c r="B31" s="4"/>
      <c r="C31" s="3"/>
      <c r="D31" s="3"/>
      <c r="E31" s="4"/>
      <c r="F31" s="37"/>
      <c r="G31" s="2"/>
    </row>
    <row r="32" spans="1:7" s="22" customFormat="1" ht="18" customHeight="1" thickBot="1">
      <c r="A32" s="1"/>
      <c r="B32" s="47" t="s">
        <v>3</v>
      </c>
      <c r="C32" s="47"/>
      <c r="D32" s="47"/>
      <c r="E32" s="47"/>
      <c r="F32" s="37"/>
      <c r="G32" s="2"/>
    </row>
    <row r="33" spans="1:7" s="22" customFormat="1" ht="21" customHeight="1" thickBot="1">
      <c r="A33" s="40"/>
      <c r="B33" s="45" t="s">
        <v>4</v>
      </c>
      <c r="C33" s="45"/>
      <c r="D33" s="45"/>
      <c r="E33" s="46"/>
      <c r="F33" s="41">
        <f>SUM(F9:F30)</f>
        <v>0</v>
      </c>
      <c r="G33" s="2"/>
    </row>
    <row r="34" spans="1:7" s="22" customFormat="1" ht="21" customHeight="1" thickBot="1">
      <c r="A34" s="40"/>
      <c r="B34" s="45" t="s">
        <v>35</v>
      </c>
      <c r="C34" s="45"/>
      <c r="D34" s="45"/>
      <c r="E34" s="46"/>
      <c r="F34" s="41">
        <f>ROUND(F33*6%,0)</f>
        <v>0</v>
      </c>
      <c r="G34" s="2"/>
    </row>
    <row r="35" spans="1:7" s="22" customFormat="1" ht="21" customHeight="1" thickBot="1">
      <c r="A35" s="40"/>
      <c r="B35" s="45" t="s">
        <v>36</v>
      </c>
      <c r="C35" s="45"/>
      <c r="D35" s="45"/>
      <c r="E35" s="46"/>
      <c r="F35" s="41">
        <f>F33+F34</f>
        <v>0</v>
      </c>
      <c r="G35" s="2"/>
    </row>
  </sheetData>
  <mergeCells count="5">
    <mergeCell ref="B3:F3"/>
    <mergeCell ref="B32:E32"/>
    <mergeCell ref="B33:E33"/>
    <mergeCell ref="B34:E34"/>
    <mergeCell ref="B35:E35"/>
  </mergeCells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OCTOBRE 2025</oddHeader>
    <oddFooter>&amp;CDPGF - LOT 10 - PEINTURE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D642A-C1B4-4A2A-872A-2C51DEF351BA}">
  <sheetPr>
    <pageSetUpPr fitToPage="1"/>
  </sheetPr>
  <dimension ref="A1:G35"/>
  <sheetViews>
    <sheetView topLeftCell="A4" zoomScaleNormal="100" workbookViewId="0">
      <selection activeCell="E11" sqref="E11:E28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81640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44</v>
      </c>
      <c r="C2" s="3"/>
      <c r="D2" s="3"/>
      <c r="E2" s="8"/>
      <c r="F2" s="8"/>
      <c r="G2" s="2"/>
    </row>
    <row r="3" spans="1:7" s="22" customFormat="1" ht="28.4" customHeight="1">
      <c r="A3" s="1"/>
      <c r="B3" s="48" t="s">
        <v>38</v>
      </c>
      <c r="C3" s="48"/>
      <c r="D3" s="48"/>
      <c r="E3" s="48"/>
      <c r="F3" s="48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56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39</v>
      </c>
      <c r="C11" s="38" t="s">
        <v>23</v>
      </c>
      <c r="D11" s="43">
        <f>D18+D19+D20</f>
        <v>516.83999999999992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23</v>
      </c>
      <c r="D12" s="43">
        <f>D11</f>
        <v>516.83999999999992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26</v>
      </c>
      <c r="B13" s="19" t="s">
        <v>40</v>
      </c>
      <c r="C13" s="38" t="s">
        <v>23</v>
      </c>
      <c r="D13" s="43">
        <f>D11</f>
        <v>516.83999999999992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27</v>
      </c>
      <c r="B14" s="19" t="s">
        <v>25</v>
      </c>
      <c r="C14" s="38" t="s">
        <v>34</v>
      </c>
      <c r="D14" s="44">
        <v>1</v>
      </c>
      <c r="E14" s="21"/>
      <c r="F14" s="24">
        <f>ROUND(D14*E14,0)</f>
        <v>0</v>
      </c>
      <c r="G14" s="2"/>
    </row>
    <row r="15" spans="1:7" s="23" customFormat="1" ht="17.25" customHeight="1">
      <c r="A15" s="18" t="s">
        <v>28</v>
      </c>
      <c r="B15" s="19" t="s">
        <v>30</v>
      </c>
      <c r="C15" s="38" t="s">
        <v>34</v>
      </c>
      <c r="D15" s="44">
        <v>1</v>
      </c>
      <c r="E15" s="21"/>
      <c r="F15" s="24">
        <f t="shared" ref="F15:F25" si="0">ROUND(D15*E15,0)</f>
        <v>0</v>
      </c>
      <c r="G15" s="2"/>
    </row>
    <row r="16" spans="1:7" s="23" customFormat="1" ht="30" customHeight="1">
      <c r="A16" s="18" t="s">
        <v>29</v>
      </c>
      <c r="B16" s="19" t="s">
        <v>31</v>
      </c>
      <c r="C16" s="38" t="s">
        <v>34</v>
      </c>
      <c r="D16" s="44">
        <v>1</v>
      </c>
      <c r="E16" s="21"/>
      <c r="F16" s="24">
        <f t="shared" si="0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0"/>
        <v>0</v>
      </c>
      <c r="G17" s="2"/>
    </row>
    <row r="18" spans="1:7" s="23" customFormat="1" ht="15" customHeight="1">
      <c r="A18" s="18" t="s">
        <v>17</v>
      </c>
      <c r="B18" s="19" t="s">
        <v>37</v>
      </c>
      <c r="C18" s="38" t="s">
        <v>23</v>
      </c>
      <c r="D18" s="43">
        <f>(27.6+17)*2.8-(1.8*2*2+0.8*0.8*2+2.1*1*3+0.8*1.1+0.9*2)+(43+25.3)*2.7-(0.8*1.1*3+1.6*1.1*8+1.8*1.1)+20+17</f>
        <v>310.13</v>
      </c>
      <c r="E18" s="21"/>
      <c r="F18" s="24">
        <f t="shared" si="0"/>
        <v>0</v>
      </c>
      <c r="G18" s="2"/>
    </row>
    <row r="19" spans="1:7" s="23" customFormat="1" ht="40" customHeight="1">
      <c r="A19" s="18" t="s">
        <v>16</v>
      </c>
      <c r="B19" s="19" t="s">
        <v>42</v>
      </c>
      <c r="C19" s="38" t="s">
        <v>23</v>
      </c>
      <c r="D19" s="43">
        <f>30*0.8*2.5+20.4</f>
        <v>80.400000000000006</v>
      </c>
      <c r="E19" s="21"/>
      <c r="F19" s="24">
        <f>ROUND(D19*E19,0)</f>
        <v>0</v>
      </c>
      <c r="G19" s="2"/>
    </row>
    <row r="20" spans="1:7" s="23" customFormat="1" ht="40" customHeight="1">
      <c r="A20" s="18" t="s">
        <v>41</v>
      </c>
      <c r="B20" s="19" t="s">
        <v>43</v>
      </c>
      <c r="C20" s="38" t="s">
        <v>23</v>
      </c>
      <c r="D20" s="43">
        <f>(19+6.8)*2.7-(1.8*1*3+1.8*2.1*3)+(17.5+11)*1.9+10.6+6*0.8*1.8</f>
        <v>126.31</v>
      </c>
      <c r="E20" s="21"/>
      <c r="F20" s="24">
        <f>ROUND(D20*E20,0)</f>
        <v>0</v>
      </c>
      <c r="G20" s="2"/>
    </row>
    <row r="21" spans="1:7" s="23" customFormat="1" ht="17.149999999999999" customHeight="1">
      <c r="A21" s="17" t="s">
        <v>18</v>
      </c>
      <c r="B21" s="31" t="s">
        <v>19</v>
      </c>
      <c r="C21" s="38"/>
      <c r="D21" s="43"/>
      <c r="E21" s="21"/>
      <c r="F21" s="24">
        <f t="shared" si="0"/>
        <v>0</v>
      </c>
      <c r="G21" s="2"/>
    </row>
    <row r="22" spans="1:7" s="23" customFormat="1" ht="29" customHeight="1">
      <c r="A22" s="18" t="s">
        <v>20</v>
      </c>
      <c r="B22" s="19" t="s">
        <v>46</v>
      </c>
      <c r="C22" s="38" t="s">
        <v>23</v>
      </c>
      <c r="D22" s="43">
        <f>2.1*3</f>
        <v>6.3000000000000007</v>
      </c>
      <c r="E22" s="21"/>
      <c r="F22" s="24">
        <f t="shared" si="0"/>
        <v>0</v>
      </c>
      <c r="G22" s="2"/>
    </row>
    <row r="23" spans="1:7" s="23" customFormat="1" ht="15" customHeight="1">
      <c r="A23" s="18" t="s">
        <v>20</v>
      </c>
      <c r="B23" s="19" t="s">
        <v>47</v>
      </c>
      <c r="C23" s="38" t="s">
        <v>24</v>
      </c>
      <c r="D23" s="43">
        <f>68.3+6.4*2+6.9*4+1.5*3*2+12.2</f>
        <v>129.89999999999998</v>
      </c>
      <c r="E23" s="21"/>
      <c r="F23" s="24">
        <f t="shared" si="0"/>
        <v>0</v>
      </c>
      <c r="G23" s="2"/>
    </row>
    <row r="24" spans="1:7" s="23" customFormat="1" ht="15" customHeight="1">
      <c r="A24" s="18" t="s">
        <v>20</v>
      </c>
      <c r="B24" s="19" t="s">
        <v>51</v>
      </c>
      <c r="C24" s="38" t="s">
        <v>23</v>
      </c>
      <c r="D24" s="43"/>
      <c r="E24" s="21"/>
      <c r="F24" s="24">
        <f t="shared" si="0"/>
        <v>0</v>
      </c>
      <c r="G24" s="2"/>
    </row>
    <row r="25" spans="1:7" s="23" customFormat="1" ht="17.25" customHeight="1">
      <c r="A25" s="17" t="s">
        <v>21</v>
      </c>
      <c r="B25" s="31" t="s">
        <v>22</v>
      </c>
      <c r="C25" s="38" t="s">
        <v>24</v>
      </c>
      <c r="D25" s="43">
        <v>27</v>
      </c>
      <c r="E25" s="21"/>
      <c r="F25" s="24">
        <f t="shared" si="0"/>
        <v>0</v>
      </c>
      <c r="G25" s="2"/>
    </row>
    <row r="26" spans="1:7" s="23" customFormat="1" ht="17.25" customHeight="1">
      <c r="A26" s="17" t="s">
        <v>32</v>
      </c>
      <c r="B26" s="31" t="s">
        <v>33</v>
      </c>
      <c r="C26" s="38"/>
      <c r="D26" s="43"/>
      <c r="E26" s="21"/>
      <c r="F26" s="24"/>
      <c r="G26" s="2"/>
    </row>
    <row r="27" spans="1:7" s="23" customFormat="1" ht="17.25" customHeight="1">
      <c r="A27" s="18"/>
      <c r="B27" s="19" t="s">
        <v>49</v>
      </c>
      <c r="C27" s="38" t="s">
        <v>24</v>
      </c>
      <c r="D27" s="43"/>
      <c r="E27" s="21"/>
      <c r="F27" s="24">
        <f>ROUND(D27*E27,0)</f>
        <v>0</v>
      </c>
      <c r="G27" s="2"/>
    </row>
    <row r="28" spans="1:7" s="23" customFormat="1" ht="17.25" customHeight="1">
      <c r="A28" s="18"/>
      <c r="B28" s="19" t="s">
        <v>50</v>
      </c>
      <c r="C28" s="38" t="s">
        <v>23</v>
      </c>
      <c r="D28" s="43">
        <f>16.5*2+18.5*0.7+1.7*1.5*2*2+1.4*1.5*2*3</f>
        <v>68.75</v>
      </c>
      <c r="E28" s="21"/>
      <c r="F28" s="24">
        <f>ROUND(D28*E28,0)</f>
        <v>0</v>
      </c>
      <c r="G28" s="2"/>
    </row>
    <row r="29" spans="1:7" s="23" customFormat="1" ht="17.25" customHeight="1">
      <c r="A29" s="18"/>
      <c r="B29" s="19"/>
      <c r="C29" s="38"/>
      <c r="D29" s="42"/>
      <c r="E29" s="21"/>
      <c r="F29" s="24"/>
      <c r="G29" s="2"/>
    </row>
    <row r="30" spans="1:7" s="23" customFormat="1" ht="17.25" customHeight="1">
      <c r="A30" s="25"/>
      <c r="B30" s="26"/>
      <c r="C30" s="27"/>
      <c r="D30" s="28"/>
      <c r="E30" s="29"/>
      <c r="F30" s="30"/>
      <c r="G30" s="2"/>
    </row>
    <row r="31" spans="1:7" s="22" customFormat="1" ht="20.149999999999999" customHeight="1">
      <c r="A31" s="1"/>
      <c r="B31" s="4"/>
      <c r="C31" s="3"/>
      <c r="D31" s="3"/>
      <c r="E31" s="4"/>
      <c r="F31" s="37"/>
      <c r="G31" s="2"/>
    </row>
    <row r="32" spans="1:7" s="22" customFormat="1" ht="18" customHeight="1" thickBot="1">
      <c r="A32" s="1"/>
      <c r="B32" s="47" t="s">
        <v>3</v>
      </c>
      <c r="C32" s="47"/>
      <c r="D32" s="47"/>
      <c r="E32" s="47"/>
      <c r="F32" s="37"/>
      <c r="G32" s="2"/>
    </row>
    <row r="33" spans="1:7" s="22" customFormat="1" ht="21" customHeight="1" thickBot="1">
      <c r="A33" s="40"/>
      <c r="B33" s="45" t="s">
        <v>4</v>
      </c>
      <c r="C33" s="45"/>
      <c r="D33" s="45"/>
      <c r="E33" s="46"/>
      <c r="F33" s="41">
        <f>SUM(F9:F30)</f>
        <v>0</v>
      </c>
      <c r="G33" s="2"/>
    </row>
    <row r="34" spans="1:7" s="22" customFormat="1" ht="21" customHeight="1" thickBot="1">
      <c r="A34" s="40"/>
      <c r="B34" s="45" t="s">
        <v>35</v>
      </c>
      <c r="C34" s="45"/>
      <c r="D34" s="45"/>
      <c r="E34" s="46"/>
      <c r="F34" s="41">
        <f>ROUND(F33*6%,0)</f>
        <v>0</v>
      </c>
      <c r="G34" s="2"/>
    </row>
    <row r="35" spans="1:7" s="22" customFormat="1" ht="21" customHeight="1" thickBot="1">
      <c r="A35" s="40"/>
      <c r="B35" s="45" t="s">
        <v>36</v>
      </c>
      <c r="C35" s="45"/>
      <c r="D35" s="45"/>
      <c r="E35" s="46"/>
      <c r="F35" s="41">
        <f>F33+F34</f>
        <v>0</v>
      </c>
      <c r="G35" s="2"/>
    </row>
  </sheetData>
  <mergeCells count="5">
    <mergeCell ref="B3:F3"/>
    <mergeCell ref="B32:E32"/>
    <mergeCell ref="B33:E33"/>
    <mergeCell ref="B34:E34"/>
    <mergeCell ref="B35:E35"/>
  </mergeCells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OCTOBRE 2025</oddHeader>
    <oddFooter>&amp;CDPGF - LOT 10 - PEINTURE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B1EDD-E730-4258-BA8C-008B8296D515}">
  <sheetPr>
    <pageSetUpPr fitToPage="1"/>
  </sheetPr>
  <dimension ref="A1:G35"/>
  <sheetViews>
    <sheetView zoomScaleNormal="100" workbookViewId="0">
      <selection activeCell="E11" sqref="E11:E28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81640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44</v>
      </c>
      <c r="C2" s="3"/>
      <c r="D2" s="3"/>
      <c r="E2" s="8"/>
      <c r="F2" s="8"/>
      <c r="G2" s="2"/>
    </row>
    <row r="3" spans="1:7" s="22" customFormat="1" ht="28.4" customHeight="1">
      <c r="A3" s="1"/>
      <c r="B3" s="48" t="s">
        <v>38</v>
      </c>
      <c r="C3" s="48"/>
      <c r="D3" s="48"/>
      <c r="E3" s="48"/>
      <c r="F3" s="48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57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39</v>
      </c>
      <c r="C11" s="38" t="s">
        <v>23</v>
      </c>
      <c r="D11" s="43">
        <f>D18+D19+D20</f>
        <v>1216.3399999999999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23</v>
      </c>
      <c r="D12" s="43">
        <f>D11</f>
        <v>1216.3399999999999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26</v>
      </c>
      <c r="B13" s="19" t="s">
        <v>40</v>
      </c>
      <c r="C13" s="38" t="s">
        <v>23</v>
      </c>
      <c r="D13" s="43">
        <f>D11</f>
        <v>1216.3399999999999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27</v>
      </c>
      <c r="B14" s="19" t="s">
        <v>25</v>
      </c>
      <c r="C14" s="38" t="s">
        <v>34</v>
      </c>
      <c r="D14" s="44">
        <v>2</v>
      </c>
      <c r="E14" s="21"/>
      <c r="F14" s="24">
        <f>ROUND(D14*E14,0)</f>
        <v>0</v>
      </c>
      <c r="G14" s="2"/>
    </row>
    <row r="15" spans="1:7" s="23" customFormat="1" ht="17.25" customHeight="1">
      <c r="A15" s="18" t="s">
        <v>28</v>
      </c>
      <c r="B15" s="19" t="s">
        <v>30</v>
      </c>
      <c r="C15" s="38" t="s">
        <v>34</v>
      </c>
      <c r="D15" s="44">
        <v>2</v>
      </c>
      <c r="E15" s="21"/>
      <c r="F15" s="24">
        <f t="shared" ref="F15:F25" si="0">ROUND(D15*E15,0)</f>
        <v>0</v>
      </c>
      <c r="G15" s="2"/>
    </row>
    <row r="16" spans="1:7" s="23" customFormat="1" ht="30" customHeight="1">
      <c r="A16" s="18" t="s">
        <v>29</v>
      </c>
      <c r="B16" s="19" t="s">
        <v>31</v>
      </c>
      <c r="C16" s="38" t="s">
        <v>34</v>
      </c>
      <c r="D16" s="44">
        <v>2</v>
      </c>
      <c r="E16" s="21"/>
      <c r="F16" s="24">
        <f t="shared" si="0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0"/>
        <v>0</v>
      </c>
      <c r="G17" s="2"/>
    </row>
    <row r="18" spans="1:7" s="23" customFormat="1" ht="15" customHeight="1">
      <c r="A18" s="18" t="s">
        <v>17</v>
      </c>
      <c r="B18" s="19" t="s">
        <v>37</v>
      </c>
      <c r="C18" s="38" t="s">
        <v>23</v>
      </c>
      <c r="D18" s="43">
        <f>(48*2.8)-(1.2*1*2+0.8*1.1*2+0.6*0.8*2+1.8*1.1*2+1.6*1.1*2+2.1*2)+(48*2.8)-(1.2*1*2+0.8*1.1*2+0.6*0.8*2+1.8*1.1*2+1.6*1.1*2+2.1*2)+(48*2.8)-(1.2*1*2+0.8*1.1*2+0.6*0.8*2+1.8*1.1*2+1.6*1.1*2+2.1*2)+(48*2.8)-(1.2*1*2+0.8*1.1*2+0.6*0.8*2+1.8*1.1*2+1.6*1.1*2+2.1*2)+17.8+3.3+17.3</f>
        <v>508.7999999999999</v>
      </c>
      <c r="E18" s="21"/>
      <c r="F18" s="24">
        <f t="shared" si="0"/>
        <v>0</v>
      </c>
      <c r="G18" s="2"/>
    </row>
    <row r="19" spans="1:7" s="23" customFormat="1" ht="40" customHeight="1">
      <c r="A19" s="18" t="s">
        <v>16</v>
      </c>
      <c r="B19" s="19" t="s">
        <v>42</v>
      </c>
      <c r="C19" s="38" t="s">
        <v>23</v>
      </c>
      <c r="D19" s="43">
        <f>48*0.3+(7.8+9.5)*2.7+3.5*2+2</f>
        <v>70.110000000000014</v>
      </c>
      <c r="E19" s="21"/>
      <c r="F19" s="24">
        <f>ROUND(D19*E19,0)</f>
        <v>0</v>
      </c>
      <c r="G19" s="2"/>
    </row>
    <row r="20" spans="1:7" s="23" customFormat="1" ht="40" customHeight="1">
      <c r="A20" s="18" t="s">
        <v>41</v>
      </c>
      <c r="B20" s="19" t="s">
        <v>43</v>
      </c>
      <c r="C20" s="38" t="s">
        <v>23</v>
      </c>
      <c r="D20" s="43">
        <f>(21.6)*2.7-(2.4*2.1*2)+2*0.4*2.7+23.7*2.7+6*0.8*2.5+(21.6*2.7)-(2.4*2.1*2)+(7.8+7.1)*1.9*3+(8.1*3+22*2)*2.7-(4.2*2+2.6*2)+2.5*0.3*4+9*1.9*3+4*0.8*1.8+30.5*3+18.5*3</f>
        <v>637.43000000000006</v>
      </c>
      <c r="E20" s="21"/>
      <c r="F20" s="24">
        <f>ROUND(D20*E20,0)</f>
        <v>0</v>
      </c>
      <c r="G20" s="2"/>
    </row>
    <row r="21" spans="1:7" s="23" customFormat="1" ht="17.149999999999999" customHeight="1">
      <c r="A21" s="17" t="s">
        <v>18</v>
      </c>
      <c r="B21" s="31" t="s">
        <v>19</v>
      </c>
      <c r="C21" s="38"/>
      <c r="D21" s="43"/>
      <c r="E21" s="21"/>
      <c r="F21" s="24">
        <f t="shared" si="0"/>
        <v>0</v>
      </c>
      <c r="G21" s="2"/>
    </row>
    <row r="22" spans="1:7" s="23" customFormat="1" ht="29" customHeight="1">
      <c r="A22" s="18" t="s">
        <v>20</v>
      </c>
      <c r="B22" s="19" t="s">
        <v>46</v>
      </c>
      <c r="C22" s="38" t="s">
        <v>23</v>
      </c>
      <c r="D22" s="43">
        <f>18*2.1+2.7*2.5*4</f>
        <v>64.800000000000011</v>
      </c>
      <c r="E22" s="21"/>
      <c r="F22" s="24">
        <f t="shared" si="0"/>
        <v>0</v>
      </c>
      <c r="G22" s="2"/>
    </row>
    <row r="23" spans="1:7" s="23" customFormat="1" ht="15" customHeight="1">
      <c r="A23" s="18" t="s">
        <v>20</v>
      </c>
      <c r="B23" s="19" t="s">
        <v>47</v>
      </c>
      <c r="C23" s="38" t="s">
        <v>24</v>
      </c>
      <c r="D23" s="43">
        <f>50.2+20*4+12</f>
        <v>142.19999999999999</v>
      </c>
      <c r="E23" s="21"/>
      <c r="F23" s="24">
        <f t="shared" si="0"/>
        <v>0</v>
      </c>
      <c r="G23" s="2"/>
    </row>
    <row r="24" spans="1:7" s="23" customFormat="1" ht="15" customHeight="1">
      <c r="A24" s="18" t="s">
        <v>20</v>
      </c>
      <c r="B24" s="19" t="s">
        <v>51</v>
      </c>
      <c r="C24" s="38" t="s">
        <v>23</v>
      </c>
      <c r="D24" s="43"/>
      <c r="E24" s="21"/>
      <c r="F24" s="24">
        <f t="shared" si="0"/>
        <v>0</v>
      </c>
      <c r="G24" s="2"/>
    </row>
    <row r="25" spans="1:7" s="23" customFormat="1" ht="17.25" customHeight="1">
      <c r="A25" s="17" t="s">
        <v>21</v>
      </c>
      <c r="B25" s="31" t="s">
        <v>22</v>
      </c>
      <c r="C25" s="38" t="s">
        <v>24</v>
      </c>
      <c r="D25" s="43"/>
      <c r="E25" s="21"/>
      <c r="F25" s="24">
        <f t="shared" si="0"/>
        <v>0</v>
      </c>
      <c r="G25" s="2"/>
    </row>
    <row r="26" spans="1:7" s="23" customFormat="1" ht="17.25" customHeight="1">
      <c r="A26" s="17" t="s">
        <v>32</v>
      </c>
      <c r="B26" s="31" t="s">
        <v>33</v>
      </c>
      <c r="C26" s="38"/>
      <c r="D26" s="43"/>
      <c r="E26" s="21"/>
      <c r="F26" s="24"/>
      <c r="G26" s="2"/>
    </row>
    <row r="27" spans="1:7" s="23" customFormat="1" ht="17.25" customHeight="1">
      <c r="A27" s="18"/>
      <c r="B27" s="19" t="s">
        <v>49</v>
      </c>
      <c r="C27" s="38" t="s">
        <v>24</v>
      </c>
      <c r="D27" s="43">
        <f>27+25+3.4*3+27.3</f>
        <v>89.5</v>
      </c>
      <c r="E27" s="21"/>
      <c r="F27" s="24">
        <f>ROUND(D27*E27,0)</f>
        <v>0</v>
      </c>
      <c r="G27" s="2"/>
    </row>
    <row r="28" spans="1:7" s="23" customFormat="1" ht="17.25" customHeight="1">
      <c r="A28" s="18"/>
      <c r="B28" s="19" t="s">
        <v>50</v>
      </c>
      <c r="C28" s="38" t="s">
        <v>23</v>
      </c>
      <c r="D28" s="43">
        <f>1*1.5*6+1*2.15*2+(12.6+6.6+3.2)*2+(9.3*2*3+(6.5+6))*3*0.3*2+2*3</f>
        <v>187.04000000000002</v>
      </c>
      <c r="E28" s="21"/>
      <c r="F28" s="24">
        <f>ROUND(D28*E28,0)</f>
        <v>0</v>
      </c>
      <c r="G28" s="2"/>
    </row>
    <row r="29" spans="1:7" s="23" customFormat="1" ht="17.25" customHeight="1">
      <c r="A29" s="18"/>
      <c r="B29" s="19"/>
      <c r="C29" s="38"/>
      <c r="D29" s="42"/>
      <c r="E29" s="21"/>
      <c r="F29" s="24"/>
      <c r="G29" s="2"/>
    </row>
    <row r="30" spans="1:7" s="23" customFormat="1" ht="17.25" customHeight="1">
      <c r="A30" s="25"/>
      <c r="B30" s="26"/>
      <c r="C30" s="27"/>
      <c r="D30" s="28"/>
      <c r="E30" s="29"/>
      <c r="F30" s="30"/>
      <c r="G30" s="2"/>
    </row>
    <row r="31" spans="1:7" s="22" customFormat="1" ht="20.149999999999999" customHeight="1">
      <c r="A31" s="1"/>
      <c r="B31" s="4"/>
      <c r="C31" s="3"/>
      <c r="D31" s="3"/>
      <c r="E31" s="4"/>
      <c r="F31" s="37"/>
      <c r="G31" s="2"/>
    </row>
    <row r="32" spans="1:7" s="22" customFormat="1" ht="18" customHeight="1" thickBot="1">
      <c r="A32" s="1"/>
      <c r="B32" s="47" t="s">
        <v>3</v>
      </c>
      <c r="C32" s="47"/>
      <c r="D32" s="47"/>
      <c r="E32" s="47"/>
      <c r="F32" s="37"/>
      <c r="G32" s="2"/>
    </row>
    <row r="33" spans="1:7" s="22" customFormat="1" ht="21" customHeight="1" thickBot="1">
      <c r="A33" s="40"/>
      <c r="B33" s="45" t="s">
        <v>4</v>
      </c>
      <c r="C33" s="45"/>
      <c r="D33" s="45"/>
      <c r="E33" s="46"/>
      <c r="F33" s="41">
        <f>SUM(F9:F30)</f>
        <v>0</v>
      </c>
      <c r="G33" s="2"/>
    </row>
    <row r="34" spans="1:7" s="22" customFormat="1" ht="21" customHeight="1" thickBot="1">
      <c r="A34" s="40"/>
      <c r="B34" s="45" t="s">
        <v>35</v>
      </c>
      <c r="C34" s="45"/>
      <c r="D34" s="45"/>
      <c r="E34" s="46"/>
      <c r="F34" s="41">
        <f>ROUND(F33*6%,0)</f>
        <v>0</v>
      </c>
      <c r="G34" s="2"/>
    </row>
    <row r="35" spans="1:7" s="22" customFormat="1" ht="21" customHeight="1" thickBot="1">
      <c r="A35" s="40"/>
      <c r="B35" s="45" t="s">
        <v>36</v>
      </c>
      <c r="C35" s="45"/>
      <c r="D35" s="45"/>
      <c r="E35" s="46"/>
      <c r="F35" s="41">
        <f>F33+F34</f>
        <v>0</v>
      </c>
      <c r="G35" s="2"/>
    </row>
  </sheetData>
  <mergeCells count="5">
    <mergeCell ref="B3:F3"/>
    <mergeCell ref="B32:E32"/>
    <mergeCell ref="B33:E33"/>
    <mergeCell ref="B34:E34"/>
    <mergeCell ref="B35:E35"/>
  </mergeCells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OCTOBRE 2025</oddHeader>
    <oddFooter>&amp;CDPGF - LOT 10 - PEINTURE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5B27B-FE85-449D-A278-3A7C07D039F8}">
  <sheetPr>
    <pageSetUpPr fitToPage="1"/>
  </sheetPr>
  <dimension ref="A1:G35"/>
  <sheetViews>
    <sheetView zoomScaleNormal="100" workbookViewId="0">
      <selection activeCell="E11" sqref="E11:E28"/>
    </sheetView>
  </sheetViews>
  <sheetFormatPr baseColWidth="10" defaultColWidth="10.81640625" defaultRowHeight="14.5"/>
  <cols>
    <col min="1" max="1" width="8.81640625" style="16" customWidth="1"/>
    <col min="2" max="2" width="58" style="16" customWidth="1"/>
    <col min="3" max="3" width="6.54296875" style="16" bestFit="1" customWidth="1"/>
    <col min="4" max="4" width="11.453125" style="16" customWidth="1"/>
    <col min="5" max="5" width="11.1796875" style="16" customWidth="1"/>
    <col min="6" max="6" width="14.453125" style="16" customWidth="1"/>
    <col min="7" max="7" width="39.81640625" style="16" customWidth="1"/>
    <col min="8" max="16384" width="10.81640625" style="16"/>
  </cols>
  <sheetData>
    <row r="1" spans="1:7" s="22" customFormat="1" ht="9.75" customHeight="1">
      <c r="A1" s="1"/>
      <c r="B1" s="2"/>
      <c r="C1" s="3"/>
      <c r="D1" s="3"/>
      <c r="E1" s="4"/>
      <c r="F1" s="5"/>
      <c r="G1" s="2"/>
    </row>
    <row r="2" spans="1:7" s="22" customFormat="1" ht="28" customHeight="1">
      <c r="A2" s="6"/>
      <c r="B2" s="7" t="s">
        <v>44</v>
      </c>
      <c r="C2" s="3"/>
      <c r="D2" s="3"/>
      <c r="E2" s="8"/>
      <c r="F2" s="8"/>
      <c r="G2" s="2"/>
    </row>
    <row r="3" spans="1:7" s="22" customFormat="1" ht="28.4" customHeight="1">
      <c r="A3" s="1"/>
      <c r="B3" s="48" t="s">
        <v>38</v>
      </c>
      <c r="C3" s="48"/>
      <c r="D3" s="48"/>
      <c r="E3" s="48"/>
      <c r="F3" s="48"/>
      <c r="G3" s="2"/>
    </row>
    <row r="4" spans="1:7" s="22" customFormat="1" ht="8.15" customHeight="1">
      <c r="A4" s="6"/>
      <c r="B4" s="9"/>
      <c r="C4" s="3"/>
      <c r="D4" s="3"/>
      <c r="E4" s="4"/>
      <c r="F4" s="4"/>
      <c r="G4" s="2"/>
    </row>
    <row r="5" spans="1:7" s="22" customFormat="1" ht="26.15" customHeight="1">
      <c r="A5" s="6"/>
      <c r="B5" s="10" t="s">
        <v>0</v>
      </c>
      <c r="C5" s="3"/>
      <c r="D5" s="3"/>
      <c r="E5" s="4"/>
      <c r="F5" s="4"/>
      <c r="G5" s="2"/>
    </row>
    <row r="6" spans="1:7" s="22" customFormat="1" ht="22" customHeight="1">
      <c r="A6" s="1"/>
      <c r="B6" s="11" t="s">
        <v>58</v>
      </c>
      <c r="C6" s="3"/>
      <c r="D6" s="3"/>
      <c r="E6" s="12"/>
      <c r="F6" s="12"/>
      <c r="G6" s="2"/>
    </row>
    <row r="7" spans="1:7" s="22" customFormat="1" ht="13.5" customHeight="1">
      <c r="A7" s="1"/>
      <c r="B7" s="4"/>
      <c r="C7" s="3"/>
      <c r="D7" s="3"/>
      <c r="E7" s="4"/>
      <c r="F7" s="4"/>
      <c r="G7" s="2"/>
    </row>
    <row r="8" spans="1:7" s="22" customFormat="1" ht="20.149999999999999" customHeight="1">
      <c r="A8" s="13" t="s">
        <v>1</v>
      </c>
      <c r="B8" s="14" t="s">
        <v>2</v>
      </c>
      <c r="C8" s="14" t="s">
        <v>5</v>
      </c>
      <c r="D8" s="14" t="s">
        <v>6</v>
      </c>
      <c r="E8" s="14" t="s">
        <v>7</v>
      </c>
      <c r="F8" s="15" t="s">
        <v>8</v>
      </c>
      <c r="G8" s="2"/>
    </row>
    <row r="9" spans="1:7" s="22" customFormat="1" ht="17.25" customHeight="1">
      <c r="A9" s="32"/>
      <c r="B9" s="33"/>
      <c r="C9" s="34"/>
      <c r="D9" s="34"/>
      <c r="E9" s="35"/>
      <c r="F9" s="36"/>
      <c r="G9" s="2"/>
    </row>
    <row r="10" spans="1:7" s="23" customFormat="1" ht="17.25" customHeight="1">
      <c r="A10" s="17" t="s">
        <v>9</v>
      </c>
      <c r="B10" s="31" t="s">
        <v>10</v>
      </c>
      <c r="C10" s="39"/>
      <c r="D10" s="20"/>
      <c r="E10" s="21"/>
      <c r="F10" s="24"/>
      <c r="G10" s="2"/>
    </row>
    <row r="11" spans="1:7" s="23" customFormat="1" ht="17.25" customHeight="1">
      <c r="A11" s="18" t="s">
        <v>14</v>
      </c>
      <c r="B11" s="19" t="s">
        <v>39</v>
      </c>
      <c r="C11" s="38" t="s">
        <v>23</v>
      </c>
      <c r="D11" s="43">
        <f>D18+D19+D20</f>
        <v>1166.3000000000002</v>
      </c>
      <c r="E11" s="21"/>
      <c r="F11" s="24">
        <f>ROUND(D11*E11,0)</f>
        <v>0</v>
      </c>
      <c r="G11" s="2"/>
    </row>
    <row r="12" spans="1:7" s="23" customFormat="1" ht="17.25" customHeight="1">
      <c r="A12" s="18" t="s">
        <v>15</v>
      </c>
      <c r="B12" s="19" t="s">
        <v>11</v>
      </c>
      <c r="C12" s="38" t="s">
        <v>23</v>
      </c>
      <c r="D12" s="43">
        <f>D11</f>
        <v>1166.3000000000002</v>
      </c>
      <c r="E12" s="21"/>
      <c r="F12" s="24">
        <f>ROUND(D12*E12,0)</f>
        <v>0</v>
      </c>
      <c r="G12" s="2"/>
    </row>
    <row r="13" spans="1:7" s="23" customFormat="1" ht="17.25" customHeight="1">
      <c r="A13" s="18" t="s">
        <v>26</v>
      </c>
      <c r="B13" s="19" t="s">
        <v>40</v>
      </c>
      <c r="C13" s="38" t="s">
        <v>23</v>
      </c>
      <c r="D13" s="43">
        <f>D11</f>
        <v>1166.3000000000002</v>
      </c>
      <c r="E13" s="21"/>
      <c r="F13" s="24">
        <f>ROUND(D13*E13,0)</f>
        <v>0</v>
      </c>
      <c r="G13" s="2"/>
    </row>
    <row r="14" spans="1:7" s="23" customFormat="1" ht="17.25" customHeight="1">
      <c r="A14" s="18" t="s">
        <v>27</v>
      </c>
      <c r="B14" s="19" t="s">
        <v>25</v>
      </c>
      <c r="C14" s="38" t="s">
        <v>34</v>
      </c>
      <c r="D14" s="44">
        <v>2</v>
      </c>
      <c r="E14" s="21"/>
      <c r="F14" s="24">
        <f>ROUND(D14*E14,0)</f>
        <v>0</v>
      </c>
      <c r="G14" s="2"/>
    </row>
    <row r="15" spans="1:7" s="23" customFormat="1" ht="17.25" customHeight="1">
      <c r="A15" s="18" t="s">
        <v>28</v>
      </c>
      <c r="B15" s="19" t="s">
        <v>30</v>
      </c>
      <c r="C15" s="38" t="s">
        <v>34</v>
      </c>
      <c r="D15" s="44">
        <v>2</v>
      </c>
      <c r="E15" s="21"/>
      <c r="F15" s="24">
        <f t="shared" ref="F15:F25" si="0">ROUND(D15*E15,0)</f>
        <v>0</v>
      </c>
      <c r="G15" s="2"/>
    </row>
    <row r="16" spans="1:7" s="23" customFormat="1" ht="30" customHeight="1">
      <c r="A16" s="18" t="s">
        <v>29</v>
      </c>
      <c r="B16" s="19" t="s">
        <v>31</v>
      </c>
      <c r="C16" s="38" t="s">
        <v>34</v>
      </c>
      <c r="D16" s="44">
        <v>2</v>
      </c>
      <c r="E16" s="21"/>
      <c r="F16" s="24">
        <f t="shared" si="0"/>
        <v>0</v>
      </c>
      <c r="G16" s="2"/>
    </row>
    <row r="17" spans="1:7" s="23" customFormat="1" ht="17.25" customHeight="1">
      <c r="A17" s="17" t="s">
        <v>13</v>
      </c>
      <c r="B17" s="31" t="s">
        <v>12</v>
      </c>
      <c r="C17" s="38"/>
      <c r="D17" s="43"/>
      <c r="E17" s="21"/>
      <c r="F17" s="24">
        <f t="shared" si="0"/>
        <v>0</v>
      </c>
      <c r="G17" s="2"/>
    </row>
    <row r="18" spans="1:7" s="23" customFormat="1" ht="15" customHeight="1">
      <c r="A18" s="18" t="s">
        <v>17</v>
      </c>
      <c r="B18" s="19" t="s">
        <v>37</v>
      </c>
      <c r="C18" s="38" t="s">
        <v>23</v>
      </c>
      <c r="D18" s="43">
        <f>(33.1+21.3+6.9+3.3)*2.8-(1.5*2.3+1.6*1.1*4+1.8*1.1*2+0.6*0.8*2+0.8*1.1*2+0.8*0.6+2.1)+(58.4+3.4)*2.7-(1.6*1.1*2+1.8*1.1*3+1.2*1+1.2*1.1+0.8*1+0.6*0.8*2+0.8*1.1+0.8*0.6+2.1*2)+(48.5*2.7)-(0.8*1+1.6*1.1*3+1.8*1.1+1.2*1+0.6*0.8*2+0.8*0.6+0.8*1.1+2.1*2)+(48.5*2.7)-(0.8*1+1.6*1.1*3+1.8*1.1+1.2*1+0.6*0.8*2+0.8*0.6+0.8*1.1+2.1*2)+6.3+5.1+8.3+2.7+16.9</f>
        <v>578.33000000000004</v>
      </c>
      <c r="E18" s="21"/>
      <c r="F18" s="24">
        <f t="shared" si="0"/>
        <v>0</v>
      </c>
      <c r="G18" s="2"/>
    </row>
    <row r="19" spans="1:7" s="23" customFormat="1" ht="40" customHeight="1">
      <c r="A19" s="18" t="s">
        <v>16</v>
      </c>
      <c r="B19" s="19" t="s">
        <v>42</v>
      </c>
      <c r="C19" s="38" t="s">
        <v>23</v>
      </c>
      <c r="D19" s="43">
        <f>(33.1+21.3+6.9+3.3)*0.3+(11+17)*2.8+25.9*3</f>
        <v>175.48</v>
      </c>
      <c r="E19" s="21"/>
      <c r="F19" s="24">
        <f>ROUND(D19*E19,0)</f>
        <v>0</v>
      </c>
      <c r="G19" s="2"/>
    </row>
    <row r="20" spans="1:7" s="23" customFormat="1" ht="40" customHeight="1">
      <c r="A20" s="18" t="s">
        <v>41</v>
      </c>
      <c r="B20" s="19" t="s">
        <v>43</v>
      </c>
      <c r="C20" s="38" t="s">
        <v>23</v>
      </c>
      <c r="D20" s="43">
        <f>(9.5*2.5)-(2.4*2.1+2.1)+(11.6*2.5)-(2.4*2.1+2.1+0.8*1)+(10.7*2.5)-(2.1+1.8*2.1)+4*0.8*2.5+4.9*2.5+((9.5*2.5)-(2.4*2.1)+7*1.9+0.8*1.9+(8.4*2.5)-(2.4*2.1)+7.7*1.9+0.8*1.9+(15.8*2.7)-(2.1*2)+3*0.8*2.5)*3+3.4</f>
        <v>412.49</v>
      </c>
      <c r="E20" s="21"/>
      <c r="F20" s="24">
        <f>ROUND(D20*E20,0)</f>
        <v>0</v>
      </c>
      <c r="G20" s="2"/>
    </row>
    <row r="21" spans="1:7" s="23" customFormat="1" ht="17.149999999999999" customHeight="1">
      <c r="A21" s="17" t="s">
        <v>18</v>
      </c>
      <c r="B21" s="31" t="s">
        <v>19</v>
      </c>
      <c r="C21" s="38"/>
      <c r="D21" s="43"/>
      <c r="E21" s="21"/>
      <c r="F21" s="24">
        <f t="shared" si="0"/>
        <v>0</v>
      </c>
      <c r="G21" s="2"/>
    </row>
    <row r="22" spans="1:7" s="23" customFormat="1" ht="29" customHeight="1">
      <c r="A22" s="18" t="s">
        <v>20</v>
      </c>
      <c r="B22" s="19" t="s">
        <v>46</v>
      </c>
      <c r="C22" s="38" t="s">
        <v>23</v>
      </c>
      <c r="D22" s="43">
        <f>13*2.1+2.85*2.5*4</f>
        <v>55.8</v>
      </c>
      <c r="E22" s="21"/>
      <c r="F22" s="24">
        <f t="shared" si="0"/>
        <v>0</v>
      </c>
      <c r="G22" s="2"/>
    </row>
    <row r="23" spans="1:7" s="23" customFormat="1" ht="15" customHeight="1">
      <c r="A23" s="18" t="s">
        <v>20</v>
      </c>
      <c r="B23" s="19" t="s">
        <v>47</v>
      </c>
      <c r="C23" s="38" t="s">
        <v>24</v>
      </c>
      <c r="D23" s="43">
        <f>19.8+7.4+15.8+18.7+15.8+82+15.8</f>
        <v>175.3</v>
      </c>
      <c r="E23" s="21"/>
      <c r="F23" s="24">
        <f t="shared" si="0"/>
        <v>0</v>
      </c>
      <c r="G23" s="2"/>
    </row>
    <row r="24" spans="1:7" s="23" customFormat="1" ht="15" customHeight="1">
      <c r="A24" s="18" t="s">
        <v>20</v>
      </c>
      <c r="B24" s="19" t="s">
        <v>51</v>
      </c>
      <c r="C24" s="38" t="s">
        <v>23</v>
      </c>
      <c r="D24" s="43"/>
      <c r="E24" s="21"/>
      <c r="F24" s="24">
        <f t="shared" si="0"/>
        <v>0</v>
      </c>
      <c r="G24" s="2"/>
    </row>
    <row r="25" spans="1:7" s="23" customFormat="1" ht="17.25" customHeight="1">
      <c r="A25" s="17" t="s">
        <v>21</v>
      </c>
      <c r="B25" s="31" t="s">
        <v>22</v>
      </c>
      <c r="C25" s="38" t="s">
        <v>24</v>
      </c>
      <c r="D25" s="43">
        <f>12*3+8+8+8</f>
        <v>60</v>
      </c>
      <c r="E25" s="21"/>
      <c r="F25" s="24">
        <f t="shared" si="0"/>
        <v>0</v>
      </c>
      <c r="G25" s="2"/>
    </row>
    <row r="26" spans="1:7" s="23" customFormat="1" ht="17.25" customHeight="1">
      <c r="A26" s="17" t="s">
        <v>32</v>
      </c>
      <c r="B26" s="31" t="s">
        <v>33</v>
      </c>
      <c r="C26" s="38"/>
      <c r="D26" s="43"/>
      <c r="E26" s="21"/>
      <c r="F26" s="24"/>
      <c r="G26" s="2"/>
    </row>
    <row r="27" spans="1:7" s="23" customFormat="1" ht="17.25" customHeight="1">
      <c r="A27" s="18"/>
      <c r="B27" s="19" t="s">
        <v>49</v>
      </c>
      <c r="C27" s="38" t="s">
        <v>24</v>
      </c>
      <c r="D27" s="43">
        <f>24.9</f>
        <v>24.9</v>
      </c>
      <c r="E27" s="21"/>
      <c r="F27" s="24">
        <f>ROUND(D27*E27,0)</f>
        <v>0</v>
      </c>
      <c r="G27" s="2"/>
    </row>
    <row r="28" spans="1:7" s="23" customFormat="1" ht="17.25" customHeight="1">
      <c r="A28" s="18"/>
      <c r="B28" s="19" t="s">
        <v>50</v>
      </c>
      <c r="C28" s="38" t="s">
        <v>23</v>
      </c>
      <c r="D28" s="43">
        <f>(1*2.2*2*3)+(6.5*2+6.7*2+7.5*2+(6*0.3*2+6.7*0.3*2+1*1.5*2*2))*3</f>
        <v>178.26</v>
      </c>
      <c r="E28" s="21"/>
      <c r="F28" s="24">
        <f>ROUND(D28*E28,0)</f>
        <v>0</v>
      </c>
      <c r="G28" s="2"/>
    </row>
    <row r="29" spans="1:7" s="23" customFormat="1" ht="17.25" customHeight="1">
      <c r="A29" s="18"/>
      <c r="B29" s="19"/>
      <c r="C29" s="38"/>
      <c r="D29" s="42"/>
      <c r="E29" s="21"/>
      <c r="F29" s="24"/>
      <c r="G29" s="2"/>
    </row>
    <row r="30" spans="1:7" s="23" customFormat="1" ht="17.25" customHeight="1">
      <c r="A30" s="25"/>
      <c r="B30" s="26"/>
      <c r="C30" s="27"/>
      <c r="D30" s="28"/>
      <c r="E30" s="29"/>
      <c r="F30" s="30"/>
      <c r="G30" s="2"/>
    </row>
    <row r="31" spans="1:7" s="22" customFormat="1" ht="20.149999999999999" customHeight="1">
      <c r="A31" s="1"/>
      <c r="B31" s="4"/>
      <c r="C31" s="3"/>
      <c r="D31" s="3"/>
      <c r="E31" s="4"/>
      <c r="F31" s="37"/>
      <c r="G31" s="2"/>
    </row>
    <row r="32" spans="1:7" s="22" customFormat="1" ht="18" customHeight="1" thickBot="1">
      <c r="A32" s="1"/>
      <c r="B32" s="47" t="s">
        <v>3</v>
      </c>
      <c r="C32" s="47"/>
      <c r="D32" s="47"/>
      <c r="E32" s="47"/>
      <c r="F32" s="37"/>
      <c r="G32" s="2"/>
    </row>
    <row r="33" spans="1:7" s="22" customFormat="1" ht="21" customHeight="1" thickBot="1">
      <c r="A33" s="40"/>
      <c r="B33" s="45" t="s">
        <v>4</v>
      </c>
      <c r="C33" s="45"/>
      <c r="D33" s="45"/>
      <c r="E33" s="46"/>
      <c r="F33" s="41">
        <f>SUM(F9:F30)</f>
        <v>0</v>
      </c>
      <c r="G33" s="2"/>
    </row>
    <row r="34" spans="1:7" s="22" customFormat="1" ht="21" customHeight="1" thickBot="1">
      <c r="A34" s="40"/>
      <c r="B34" s="45" t="s">
        <v>35</v>
      </c>
      <c r="C34" s="45"/>
      <c r="D34" s="45"/>
      <c r="E34" s="46"/>
      <c r="F34" s="41">
        <f>ROUND(F33*6%,0)</f>
        <v>0</v>
      </c>
      <c r="G34" s="2"/>
    </row>
    <row r="35" spans="1:7" s="22" customFormat="1" ht="21" customHeight="1" thickBot="1">
      <c r="A35" s="40"/>
      <c r="B35" s="45" t="s">
        <v>36</v>
      </c>
      <c r="C35" s="45"/>
      <c r="D35" s="45"/>
      <c r="E35" s="46"/>
      <c r="F35" s="41">
        <f>F33+F34</f>
        <v>0</v>
      </c>
      <c r="G35" s="2"/>
    </row>
  </sheetData>
  <mergeCells count="5">
    <mergeCell ref="B3:F3"/>
    <mergeCell ref="B32:E32"/>
    <mergeCell ref="B33:E33"/>
    <mergeCell ref="B34:E34"/>
    <mergeCell ref="B35:E35"/>
  </mergeCells>
  <pageMargins left="0.47244094488188981" right="0.47244094488188981" top="0.74803149606299213" bottom="0.74803149606299213" header="0.31496062992125984" footer="0.31496062992125984"/>
  <pageSetup paperSize="9" scale="84" orientation="portrait" r:id="rId1"/>
  <headerFooter>
    <oddHeader>&amp;LFSH&amp;RDCE - OCTOBRE 2025</oddHeader>
    <oddFooter>&amp;CDPGF - LOT 10 - PEINTURE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10-NOURE - Bât. A</vt:lpstr>
      <vt:lpstr>10-NOURE - Bât. B</vt:lpstr>
      <vt:lpstr>10-NOURE - Bât. C</vt:lpstr>
      <vt:lpstr>10-NOURE - Bât. D</vt:lpstr>
      <vt:lpstr>10-NOURE - Bât. E</vt:lpstr>
      <vt:lpstr>10-NOURE - Bât. F</vt:lpstr>
      <vt:lpstr>10-NOURE - Bât. G</vt:lpstr>
      <vt:lpstr>10-NOURE - Bât. H1</vt:lpstr>
      <vt:lpstr>10-NOURE - Bât. H2</vt:lpstr>
      <vt:lpstr>10-NOURE - RECAP</vt:lpstr>
      <vt:lpstr>'10-NOURE - Bât. A'!Zone_d_impression</vt:lpstr>
      <vt:lpstr>'10-NOURE - Bât. B'!Zone_d_impression</vt:lpstr>
      <vt:lpstr>'10-NOURE - Bât. C'!Zone_d_impression</vt:lpstr>
      <vt:lpstr>'10-NOURE - Bât. D'!Zone_d_impression</vt:lpstr>
      <vt:lpstr>'10-NOURE - Bât. E'!Zone_d_impression</vt:lpstr>
      <vt:lpstr>'10-NOURE - Bât. F'!Zone_d_impression</vt:lpstr>
      <vt:lpstr>'10-NOURE - Bât. G'!Zone_d_impression</vt:lpstr>
      <vt:lpstr>'10-NOURE - Bât. H1'!Zone_d_impression</vt:lpstr>
      <vt:lpstr>'10-NOURE - Bât. H2'!Zone_d_impression</vt:lpstr>
      <vt:lpstr>'10-NOURE - RECAP'!Zone_d_impression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pilote</dc:creator>
  <cp:lastModifiedBy>olivier</cp:lastModifiedBy>
  <cp:lastPrinted>2025-09-24T06:58:17Z</cp:lastPrinted>
  <dcterms:created xsi:type="dcterms:W3CDTF">2020-09-02T20:50:39Z</dcterms:created>
  <dcterms:modified xsi:type="dcterms:W3CDTF">2025-10-05T00:41:29Z</dcterms:modified>
</cp:coreProperties>
</file>